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hidden" name="ต้นฉบับ" sheetId="1" r:id="rId3"/>
    <sheet state="visible" name="ภาษาไทย" sheetId="2" r:id="rId4"/>
    <sheet state="visible" name="คณิตศาสตร์" sheetId="3" r:id="rId5"/>
    <sheet state="visible" name="วิทยาศาสตร์" sheetId="4" r:id="rId6"/>
    <sheet state="visible" name="สังคมศึกษา ศาสนา และวัฒนธรรม" sheetId="5" r:id="rId7"/>
    <sheet state="visible" name="ภาษาต่างประเทศ (ภาษาอังกฤษ)" sheetId="6" r:id="rId8"/>
  </sheets>
  <definedNames/>
  <calcPr/>
</workbook>
</file>

<file path=xl/sharedStrings.xml><?xml version="1.0" encoding="utf-8"?>
<sst xmlns="http://schemas.openxmlformats.org/spreadsheetml/2006/main" count="9446" uniqueCount="3124">
  <si>
    <t xml:space="preserve">รายการที่ออกอากาศทางห้องเรียนแห่งคุณภาพ ห้องเรียน DLIT กลุ่มสาระฯ - ภาษาไทย </t>
  </si>
  <si>
    <t>รายการที่ออกอากาศทางห้องเรียนแห่งคุณภาพ ห้องเรียน DLIT กลุ่มสาระฯ - คณิตศาสตร์</t>
  </si>
  <si>
    <t>กลุ่มสาระฯ</t>
  </si>
  <si>
    <t>ชั้น / ตอน</t>
  </si>
  <si>
    <t>1</t>
  </si>
  <si>
    <t>2</t>
  </si>
  <si>
    <t>3</t>
  </si>
  <si>
    <t xml:space="preserve">                        รายการที่ออกอากาศทางห้องเรียนแห่งคุณภาพ ห้องเรียน DLIT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</si>
  <si>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</si>
  <si>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</si>
  <si>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</si>
  <si>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</si>
  <si>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</si>
  <si>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</si>
  <si>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</si>
  <si>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</si>
  <si>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</si>
  <si>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</si>
  <si>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</si>
  <si>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</si>
  <si>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</si>
  <si>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</si>
  <si>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</si>
  <si>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</si>
  <si>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</si>
  <si>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</si>
  <si>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</si>
  <si>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</si>
  <si>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</si>
  <si>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ภาษาไทย</t>
  </si>
  <si>
    <t>ป.1</t>
  </si>
  <si>
    <t>-</t>
  </si>
  <si>
    <t>ท 4.1</t>
  </si>
  <si>
    <t>คณิต
ศาสตร์</t>
  </si>
  <si>
    <t>ท 1.1</t>
  </si>
  <si>
    <t>ท 2.1, ท 4.1</t>
  </si>
  <si>
    <t>ท 2.1</t>
  </si>
  <si>
    <t>ท 4.1, ท 5.1</t>
  </si>
  <si>
    <t>ท 1.1, ท 2.1, ท 4.1</t>
  </si>
  <si>
    <t>ค 1.1</t>
  </si>
  <si>
    <t>ท 1.1,ท 4.1</t>
  </si>
  <si>
    <t>ค 1.2</t>
  </si>
  <si>
    <t>ค 2.1</t>
  </si>
  <si>
    <t>ค 3.1</t>
  </si>
  <si>
    <t>การเตรียมความพร้อม
ครูยุวดี นุชทรัพย์</t>
  </si>
  <si>
    <t>พยัญชนะไทย ตอน 1
ครูยุวดี นุชทรัพย์</t>
  </si>
  <si>
    <t>พยัญชนะไทย ตอน 2
ครูยุวดี นุชทรัพย์</t>
  </si>
  <si>
    <t>การอ่านสระอา
ครูสุรีย์ สุคนธ์วารี</t>
  </si>
  <si>
    <t>การเขียนสระอา
ครูสุรีย์ สุคนธ์วารี</t>
  </si>
  <si>
    <t>การอ่านคำประสมสระอู
ครูยุวดี นุชทรัพย์</t>
  </si>
  <si>
    <t>การเขียนคำประสมสระอู
ครูยุวดี นุชทรัพย์</t>
  </si>
  <si>
    <t>การอ่านคำประสมสระอี
ครูยุวดี นุชทรัพย์</t>
  </si>
  <si>
    <t>การเขียนคำประสมสระอี     
ครูยุวดี นุชทรัพย์</t>
  </si>
  <si>
    <t>การอ่านสระโอ
ครูสุรีย์ สุคนธ์วารี</t>
  </si>
  <si>
    <t>การเขียนสระโอ 
ครูสุรีย์ สุคนธ์วารี</t>
  </si>
  <si>
    <t>การบวกจำนวนที่มีผลลัพธ์
ไม่เกิน 20</t>
  </si>
  <si>
    <t>ครูสุรีย์ สุคนธ์วารี วัดสวนแตง สุพรรณบุรี</t>
  </si>
  <si>
    <t>จำนวนคู่ - คี่</t>
  </si>
  <si>
    <t>การเปรียบเทียบจำนวน 1-20 โดยใช้ &gt;, &lt;, =, ≠</t>
  </si>
  <si>
    <t>การลบจำนวนที่มีผลลัพธ์
ไม่เกิน 20</t>
  </si>
  <si>
    <t>โจทย์ปัญหาการบวกลบ
ไม่เกิน 9</t>
  </si>
  <si>
    <t>การกระจายหลักเลข
จำนวน 1-20</t>
  </si>
  <si>
    <t>การบวกลบระคน
จำนวนไม่เกิน 1-20</t>
  </si>
  <si>
    <t xml:space="preserve">แบบรูปการนับเพิ่มทีละ 1 ทีละ 2 และการนับลดทีละ 1 </t>
  </si>
  <si>
    <t>แต่งประโยค ตอน 1</t>
  </si>
  <si>
    <t>แต่งประโยค ตอน 2</t>
  </si>
  <si>
    <t>คำคล้องจอง</t>
  </si>
  <si>
    <t>โจทย์ปัญหาการบวก</t>
  </si>
  <si>
    <t>โจทย์ปัญหาการลบ</t>
  </si>
  <si>
    <t>โจทย์ปัญหาการบวกลบระคน</t>
  </si>
  <si>
    <t>การวัดความยาว ความสูง และระยะทาง</t>
  </si>
  <si>
    <t>การเปรียบเทียบการวัดความยาว ความสูง และระยะทาง</t>
  </si>
  <si>
    <t>การเปรียบเทียบน้ำหนัก</t>
  </si>
  <si>
    <t>การชั่ง</t>
  </si>
  <si>
    <t>การเปรียบเทียบการตวง</t>
  </si>
  <si>
    <t>การตวงโดยใช้หน่วยกลาง</t>
  </si>
  <si>
    <t>การอ่านและการเขียนจำนวน 21-100</t>
  </si>
  <si>
    <t>สระอือ (การอ่าน)</t>
  </si>
  <si>
    <t>รูปเรขาคณิต</t>
  </si>
  <si>
    <t>กลางวัน กลางคืน</t>
  </si>
  <si>
    <t>วัน และ เดือน</t>
  </si>
  <si>
    <t>มาลิณี ชมภูวิเศษ</t>
  </si>
  <si>
    <t>ครูลัดดา ทองศรี</t>
  </si>
  <si>
    <t>ครูสุมาลี รักษากิจ</t>
  </si>
  <si>
    <t>สระอือ (การเขียน)</t>
  </si>
  <si>
    <t>https://www.youtube.com/watch?v=nCPXABnb4dc</t>
  </si>
  <si>
    <t>สระเอีย ตอน 1</t>
  </si>
  <si>
    <t>สระเอีย ตอน 2</t>
  </si>
  <si>
    <t>สระอัว ตอน 1</t>
  </si>
  <si>
    <t>สระอัว ตอน 2</t>
  </si>
  <si>
    <t xml:space="preserve">ผันเสียงวรรณยุกต์อักษรกลาง </t>
  </si>
  <si>
    <t xml:space="preserve">อ่านสะกดคำ </t>
  </si>
  <si>
    <t>ประโยคสามส่วน</t>
  </si>
  <si>
    <t xml:space="preserve">พยางค์ </t>
  </si>
  <si>
    <t>ยุวดี นุชทรัพย์</t>
  </si>
  <si>
    <t>สุรีย์ สุคนธ์วารี</t>
  </si>
  <si>
    <t>ครูปรียานาถ สุขสวัสดิ์</t>
  </si>
  <si>
    <t>https://www.youtube.com/watch?v=6YAuk54ZC0c</t>
  </si>
  <si>
    <t>https://www.youtube.com/watch?v=F6XPY-TC_c8</t>
  </si>
  <si>
    <t>ติดตามชมเร็วๆ นี้</t>
  </si>
  <si>
    <t>ครูสุรีย์ สุคนธ์วารี</t>
  </si>
  <si>
    <t>รร.วัดปากน้ำฝั่งเหนือ</t>
  </si>
  <si>
    <t>รร.วัดสวนแตง</t>
  </si>
  <si>
    <t>โรงเรียนอนุบาลกำแพงเพชร</t>
  </si>
  <si>
    <t xml:space="preserve">โรงเรียนวัดสวนแตง </t>
  </si>
  <si>
    <t>กรุงเทพมหานคร</t>
  </si>
  <si>
    <t>สุพรรณบุรี</t>
  </si>
  <si>
    <t>จ.กำแพงเพชร</t>
  </si>
  <si>
    <t>จ.สุพรรณบุรี</t>
  </si>
  <si>
    <t>https://www.youtube.com/watch?v=-0reYkaFuOM</t>
  </si>
  <si>
    <t>ครูจรัสศรี สังวรสุวรรณ</t>
  </si>
  <si>
    <t>รร.เทศบาลวัดตองปุโบราณคณิสสร</t>
  </si>
  <si>
    <t>โรงเรียนอนุบาลพิษณุโลก</t>
  </si>
  <si>
    <t>ป.2</t>
  </si>
  <si>
    <t>https://www.youtube.com/watch?v=DqYDMAN379E</t>
  </si>
  <si>
    <t>https://www.youtube.com/watch?v=wtdCEyqWqyw</t>
  </si>
  <si>
    <t>https://www.youtube.com/watch?v=rIUnFetcnzY</t>
  </si>
  <si>
    <t>https://www.youtube.com/watch?v=vheBL9aHRgU</t>
  </si>
  <si>
    <t>https://www.youtube.com/watch?v=kkdZjtGM8AU</t>
  </si>
  <si>
    <t>https://www.youtube.com/watch?v=YyUYFqfc8yI</t>
  </si>
  <si>
    <t>โรงเรียนวัดดอนทอง (สุวัณณะศรี ตัณฑิกุล ราษฎร์ศึกษาลัย)</t>
  </si>
  <si>
    <t>https://www.youtube.com/watch?v=VBQF-pNAC3w</t>
  </si>
  <si>
    <t>https://www.youtube.com/watch?v=uV--o18q9kk</t>
  </si>
  <si>
    <t>รร.เทศบาลวัดตองปุโบราณ   คณิสสร</t>
  </si>
  <si>
    <t>https://www.youtube.com/watch?v=i7lzcOuH4LM</t>
  </si>
  <si>
    <t>https://www.youtube.com/watch?v=SsuFh8BfEYw</t>
  </si>
  <si>
    <t>https://www.youtube.com/watch?v=bmvLcHjDwyA</t>
  </si>
  <si>
    <t>https://www.youtube.com/watch?v=0wVyxI8yKOA</t>
  </si>
  <si>
    <t>พระนครศรีอยุธยา</t>
  </si>
  <si>
    <t>https://www.youtube.com/watch?v=W6EAg96w2HA</t>
  </si>
  <si>
    <t>จ.พิษณุโลก</t>
  </si>
  <si>
    <t>จ.ฉะเชิงเทรา</t>
  </si>
  <si>
    <t xml:space="preserve">   </t>
  </si>
  <si>
    <t>https://www.youtube.com/watch?v=QJC8FaEO9vg</t>
  </si>
  <si>
    <t>https://www.youtube.com/watch?v=E31KhRCQeXY</t>
  </si>
  <si>
    <t>https://www.youtube.com/watch?v=5JuK82cOJRk</t>
  </si>
  <si>
    <t>https://www.youtube.com/watch?v=lBu7kqTjXqc</t>
  </si>
  <si>
    <t>https://www.youtube.com/watch?v=_Aj6IqawVU8</t>
  </si>
  <si>
    <t>https://www.youtube.com/watch?v=p0Z7uuv6B9s</t>
  </si>
  <si>
    <t>https://www.youtube.com/watch?v=dxLD-4NGDA8</t>
  </si>
  <si>
    <t>ป.3</t>
  </si>
  <si>
    <t>การตั้งคำถาม ตอบคำถาม จากการอ่านฯ ตอน 1
ครูบุปผา ล้วนเล็ก</t>
  </si>
  <si>
    <t>https://www.youtube.com/watch?v=u6YwxddnnJw</t>
  </si>
  <si>
    <t>การตั้งคำถาม ตอบคำถาม จากการอ่านฯ ตอน 2
ครูบุปผา ล้วนเล็ก</t>
  </si>
  <si>
    <t>ลำดับเหตุการณ์และคาดคะเนฯ ตอน 1
ครูบุปผา ล้วนเล็ก</t>
  </si>
  <si>
    <t>ลำดับเหตุการณ์และคาดคะเนฯ ตอน 2
ครูบุปผา ล้วนเล็ก</t>
  </si>
  <si>
    <t>https://www.youtube.com/watch?v=MFaZBTDakIA</t>
  </si>
  <si>
    <t>https://www.youtube.com/watch?v=Ny4NNAgkZ7E</t>
  </si>
  <si>
    <t>https://www.youtube.com/watch?v=IMHL_Ll7SmA</t>
  </si>
  <si>
    <t>https://www.youtube.com/watch?v=GihvxGOXH_A</t>
  </si>
  <si>
    <t>https://www.youtube.com/watch?v=y_SHmj8GZsY</t>
  </si>
  <si>
    <t>https://www.youtube.com/watch?v=BOSsWIC2A2w</t>
  </si>
  <si>
    <t>https://www.youtube.com/watch?v=mN7K4Uqp38A</t>
  </si>
  <si>
    <t>https://www.youtube.com/watch?v=q1-x3r8B5Yo</t>
  </si>
  <si>
    <t>https://www.youtube.com/watch?v=d-plT32Yq-Y</t>
  </si>
  <si>
    <t>https://www.youtube.com/watch?v=CU_y6tO9Pzg</t>
  </si>
  <si>
    <t>https://www.youtube.com/watch?v=eigRBBUOpZA</t>
  </si>
  <si>
    <t>https://www.youtube.com/watch?v=YQ_VzS14RHs</t>
  </si>
  <si>
    <t>https://www.youtube.com/watch?v=nbbJP55_lgE</t>
  </si>
  <si>
    <t>ป.4</t>
  </si>
  <si>
    <t>https://www.youtube.com/watch?v=Xx8CQAuq7M0</t>
  </si>
  <si>
    <t>https://www.youtube.com/watch?v=TpMh0f2c2nM</t>
  </si>
  <si>
    <t>https://www.youtube.com/watch?v=JuWnYcq0MyI</t>
  </si>
  <si>
    <t>อ่านบทร้อยแก้ว/ ร้อยกรอง(ร, ล)
ครูลมัย มีขันหมาก</t>
  </si>
  <si>
    <t>อ่านบทร้อยแก้ว/ ร้อยกรอง(ควบกล้ำ)
ครูลมัย มีขันหมาก</t>
  </si>
  <si>
    <t>การอ่านเรื่องตามเวลา 
(อ่านจับใจความ)
ครูลมัย มีขันหมาก</t>
  </si>
  <si>
    <t>การเขียนย่อความจากสื่อ
ครูลมัย มีขันหมาก</t>
  </si>
  <si>
    <t>https://www.youtube.com/watch?v=NhTm54ymI4M</t>
  </si>
  <si>
    <t>https://www.youtube.com/watch?v=YeJGX6uyooM</t>
  </si>
  <si>
    <t>https://www.youtube.com/watch?v=z8xj889RL1o</t>
  </si>
  <si>
    <t>https://www.youtube.com/watch?v=sEgnWhqqTwk</t>
  </si>
  <si>
    <t>https://www.youtube.com/watch?v=ZqUoNMjdnvg</t>
  </si>
  <si>
    <t>https://www.youtube.com/watch?v=VorfpyAm9FE</t>
  </si>
  <si>
    <t>https://www.youtube.com/watch?v=mnyA8DgpyG8</t>
  </si>
  <si>
    <t>https://www.youtube.com/watch?v=_7e___1ebEY</t>
  </si>
  <si>
    <t>ป.5</t>
  </si>
  <si>
    <t>การอ่านคำควบกล้ำ ร, ล, ว (ควบกล้ำแท้)
ครูณันท์ขจร กันชาติ</t>
  </si>
  <si>
    <t>การอ่านคำควบกล้ำไม่แท้
ครูณันท์ขจร กันชาติ</t>
  </si>
  <si>
    <t>การใช้พจนานุกรม
ครูณันท์ขจร กันชาติ</t>
  </si>
  <si>
    <t>ป.6</t>
  </si>
  <si>
    <t>การอ่านจับใจความสารคดี
ครูศรีอัมพร ประทุมนันท์</t>
  </si>
  <si>
    <t>การอ่านจับใจความ
ครูศรีอัมพร ประทุมนันท์</t>
  </si>
  <si>
    <t>การอ่านงานเขียนเชิงอธิบาย
ครูศรีอัมพร ประทุมนันท์</t>
  </si>
  <si>
    <t>การเลือกอ่านหนังสือตาม ความสนใจ 
ครูศรีอัมพร ประทุมนันท์</t>
  </si>
  <si>
    <t>ม.1</t>
  </si>
  <si>
    <t>การอ่านจับใจความสำคัญ ตอน 1
ครูอัญธิฌา มีวรรณ</t>
  </si>
  <si>
    <t>การอ่านจับใจความสำคัญ ตอน 2
ครูอัญธิฌา มีวรรณ</t>
  </si>
  <si>
    <t>การอ่านสรุปบทความ 
ครูอัญธิฌา มีวรรณ</t>
  </si>
  <si>
    <t>การแยกข้อเท็จจริง ข้อคิดเห็นจากเรื่องที่อ่าน 
ครูอัญธิฌา มีวรรณ</t>
  </si>
  <si>
    <t>ครูจีรนัย มีสุข  โรงเรียนหาดใหญ่วิทยาลัย สงขลา</t>
  </si>
  <si>
    <t>ครูวิมลฉัตร มีหนองหว้า โรงเรียนปทุมพิทยาคม อุบลราชธานี</t>
  </si>
  <si>
    <t>ครูละอองดาว ชาวกงจักร 
โรงเรียนสวนกุหลาบฯ นนทบุรี</t>
  </si>
  <si>
    <t>ละอองดาว ชาวกงจักร สวนกุหลาบฯ นนทบุรี  (รอตัดต่อ)</t>
  </si>
  <si>
    <t>ท 3.1</t>
  </si>
  <si>
    <t>ท 5.1</t>
  </si>
  <si>
    <t>ดาวน์โหลดเอกสารประกอบ</t>
  </si>
  <si>
    <t>ม.2</t>
  </si>
  <si>
    <t>อักษรนำ ตอน 1</t>
  </si>
  <si>
    <t>อักษรนำ ตอน 2</t>
  </si>
  <si>
    <t>การอ่านจับใจความ (นิทาน)</t>
  </si>
  <si>
    <t>การอ่านจับใจความ (บทเพลง)</t>
  </si>
  <si>
    <t>การจับใจความสำคัญจากการอ่านบทความ
ครูมยุรี วงศ์ทองคำ</t>
  </si>
  <si>
    <t>การอ่านจับใจความ
(ข่าวเหตุการณ์)</t>
  </si>
  <si>
    <t>อ่านสารโน้มน้าวใจ ตอน 1
ครูมยุรี วงศ์ทองคำ</t>
  </si>
  <si>
    <t>การผันวรรณยุกต์ (อักษรสูง)</t>
  </si>
  <si>
    <t>อ่านสารโน้มน้าวใจ ตอน 2
ครูมยุรี วงศ์ทองคำ</t>
  </si>
  <si>
    <t>การผันวรรณยุกต์ (อักษรต่ำ)</t>
  </si>
  <si>
    <t>การอ่านวิเคราะห์สาร
ครูมยุรี วงศ์ทองคำ</t>
  </si>
  <si>
    <t>ครูมยุรี วงศ์ทองคำ  โรงเรียนสามเสนวิทยาลัย</t>
  </si>
  <si>
    <t>ครูนิภา จินตนนท์   โรงเรียนหาดใหญ่วิทยาลัย</t>
  </si>
  <si>
    <t>คำคล้องจอง ตอน 2</t>
  </si>
  <si>
    <t>ประโยคบอกเล่า</t>
  </si>
  <si>
    <t>ประโยคคำถาม ประโยคปฏิเสธ</t>
  </si>
  <si>
    <t>เรียงประโยคเป็นข้อความสั้น ๆ
ตอน 1</t>
  </si>
  <si>
    <t>เรียงประโยคเป็นข้อความสั้น ๆ
ตอน 2</t>
  </si>
  <si>
    <t>การพูดแสดงความคิดเห็น 
ตอน 1</t>
  </si>
  <si>
    <t>การพูดแสดงความคิดเห็น 
ตอน 2</t>
  </si>
  <si>
    <t>ครูนิภา จินตนนท์  โรงเรียนหาดใหญ่วิทยาลัย</t>
  </si>
  <si>
    <t>ระบุข้อคิด
ที่ได้จากการอ่านหรือการฟัง</t>
  </si>
  <si>
    <t>บูรณาการวันลอยกระทง ตอนที่ 1</t>
  </si>
  <si>
    <t>บูรณาการวันลอยกระทง ตอนที่ 2</t>
  </si>
  <si>
    <t>บูรณาการวันลอยกระทง ตอนที่ 3</t>
  </si>
  <si>
    <t>บูรณาการวันลอยกระทง ตอนที่ 4</t>
  </si>
  <si>
    <t xml:space="preserve">สุนันทา  โยทองยศ </t>
  </si>
  <si>
    <t>สุธีรา ไชยปัญญา</t>
  </si>
  <si>
    <t>อุบล โตนาค</t>
  </si>
  <si>
    <t>ศรัญรัชต์ หงษ์ยนต์</t>
  </si>
  <si>
    <t>สีไพรวรรณ คำปิตะ</t>
  </si>
  <si>
    <t xml:space="preserve">รร.อนุบาลขอนแก่น </t>
  </si>
  <si>
    <t>รร.อนุบาลยโสธร</t>
  </si>
  <si>
    <t>รร.บ้านโนนจั่น</t>
  </si>
  <si>
    <t>รร.บ้านคลองห้วยยั้ง</t>
  </si>
  <si>
    <t>รร.สุขานารี</t>
  </si>
  <si>
    <t>ขอนแก่น</t>
  </si>
  <si>
    <t>ยโสธร</t>
  </si>
  <si>
    <t>กำแพงเพชร</t>
  </si>
  <si>
    <t>นครราชสีมา</t>
  </si>
  <si>
    <t>https://www.youtube.com/watch?v=QyzMuEvokBQ</t>
  </si>
  <si>
    <t>https://www.youtube.com/watch?v=tBkHoEXhA5g</t>
  </si>
  <si>
    <t>https://www.youtube.com/watch?v=uF2g2osx4ps</t>
  </si>
  <si>
    <t>https://www.youtube.com/watch?v=GtWNVW2UJQo</t>
  </si>
  <si>
    <t>ม.3</t>
  </si>
  <si>
    <t>https://www.youtube.com/watch?v=KlnAL1Utc7k</t>
  </si>
  <si>
    <t>https://www.youtube.com/watch?v=SisXkr_ln28</t>
  </si>
  <si>
    <t xml:space="preserve">ครูชมชนก ทรงมิตร โรงเรียนราชวินิต มัธยม </t>
  </si>
  <si>
    <t>https://www.youtube.com/watch?v=5DSydEU71qc</t>
  </si>
  <si>
    <t>https://www.youtube.com/watch?v=oubTjt4ntqE</t>
  </si>
  <si>
    <t>ม.4</t>
  </si>
  <si>
    <t>https://www.youtube.com/watch?v=3SLuOlAhaG0</t>
  </si>
  <si>
    <t>https://www.youtube.com/watch?v=9RJyVEm6lKs</t>
  </si>
  <si>
    <t xml:space="preserve">ครูปิยะฤกษ์ บุญโกศล  โรงเรียนเขื่องในพิทยาคาร อุบลราชธานี </t>
  </si>
  <si>
    <t>https://www.youtube.com/watch?v=A8uN2S4f6dk</t>
  </si>
  <si>
    <t>https://www.youtube.com/watch?v=8WqHU7mGfMw</t>
  </si>
  <si>
    <t>ครูประคุณ แสนสุด โรงเรียนหาดใหญ่วิทยาลัย สงขลา</t>
  </si>
  <si>
    <t>https://www.youtube.com/watch?v=CPz3uTy-kj8</t>
  </si>
  <si>
    <t>https://www.youtube.com/watch?v=xi6296ryZc4</t>
  </si>
  <si>
    <t>https://www.youtube.com/watch?v=VxwiWx2KSR8</t>
  </si>
  <si>
    <t>https://www.youtube.com/watch?v=MwocsnhF2xM</t>
  </si>
  <si>
    <t>https://www.youtube.com/watch?v=SJD_5Sajk3k</t>
  </si>
  <si>
    <t>ม.5</t>
  </si>
  <si>
    <t>https://www.youtube.com/watch?v=V27CzUE9f1Y</t>
  </si>
  <si>
    <t>การตีความ แปลความ ขยายความ ตอน 1
ครูระพีร์ ปิยจันทร์</t>
  </si>
  <si>
    <t>https://www.youtube.com/watch?v=lhlivxSF56k</t>
  </si>
  <si>
    <t>การตีความ แปลความ ขยายความ ตอน 2
ครูระพีร์ ปิยจันทร์</t>
  </si>
  <si>
    <t>การเขียนเรียงความ โลกสาธารณะ ตอน 1
ครูระพีร์ ปิยจันทร์</t>
  </si>
  <si>
    <t>การเขียนเรียงความ โลกสาธารณะ ตอน 2
ครูระพีร์ ปิยจันทร์</t>
  </si>
  <si>
    <t>https://www.youtube.com/watch?v=P9i202QKjUQ</t>
  </si>
  <si>
    <t>https://www.youtube.com/watch?v=Ij4gEUJD-ic</t>
  </si>
  <si>
    <t>https://www.youtube.com/watch?v=lz37NgUyzBs</t>
  </si>
  <si>
    <t>ม.6</t>
  </si>
  <si>
    <t>https://www.youtube.com/watch?v=YJjLaUH84uw</t>
  </si>
  <si>
    <t>ครูลัดดาศรี ศรีสังวาลย์ โรงเรียนสามเสนวิทยาลัย</t>
  </si>
  <si>
    <t>https://www.youtube.com/watch?v=V31iwa71OQs</t>
  </si>
  <si>
    <t>การเขียนรายงาน การศึกษาค้นคว้า
ครูศักดิ์ดา เปลี่ยนเดชา</t>
  </si>
  <si>
    <t>การเขียนโครงงาน
ครูศักดิ์ดา เปลี่ยนเดชา</t>
  </si>
  <si>
    <t>การพูดประเมินเรื่องที่ฟัง และดู
ครูศักดิ์ดา เปลี่ยนเดชา</t>
  </si>
  <si>
    <t>การเปรียบเทียบจำนวนนับไม่เกิน 1,000 และ การใช้เครื่องหมาย &gt; , &lt; , = , ≠</t>
  </si>
  <si>
    <t xml:space="preserve">การบวกที่มีผลบวกไม่ถึง 100 </t>
  </si>
  <si>
    <t>การลบเลขสองจำนวนที่มีการ    กระจายค่า (ตัวตั้งเป็นเลขสองหลัก)</t>
  </si>
  <si>
    <t>โจทย์การบวกเลขสองหลัก
ที่มีผลบวกไม่ถึง 100</t>
  </si>
  <si>
    <t>โจทย์ปัญหาการลบ
ที่มีตัวตั้งเป็นเลขสองหลัก</t>
  </si>
  <si>
    <t>การบวกเลขสามหลักที่มีผลบวก
ไม่ถึง 1,000 (มีการทด)</t>
  </si>
  <si>
    <t>การลบที่มีตัวตั้ง
ไม่เกิน 1000 (มีการกระจาย)</t>
  </si>
  <si>
    <t>ความหมายของการคูณ ตอนที่ 1</t>
  </si>
  <si>
    <t>ความหมายของการคูณ ตอนที่ 2</t>
  </si>
  <si>
    <t>การคูณที่มีหนึ่งหลักกับจำนวนหนึ่งหลัก</t>
  </si>
  <si>
    <t>โจทย์ปัญหาการบวกที่มีตัวตั้งไม่เกิน 1,000</t>
  </si>
  <si>
    <t>การหาผลคูณของจำนวน
หนึ่งหลักกับจำนวนสองหลัก
(มีการทด)</t>
  </si>
  <si>
    <t>การชั่งโดยใช้เครื่องชั่งที่มีหน่วยมาตรฐาน และ
บอกน้ำหนักเป็นกิโลกรัมและขีด</t>
  </si>
  <si>
    <t>การเปรียบเทียบน้ำหนัก
และคะเนน้ำหนัก</t>
  </si>
  <si>
    <t>การวัดความยาว</t>
  </si>
  <si>
    <t>โจทย์ปัญหาการชั่ง</t>
  </si>
  <si>
    <t>การวัดความยาวเป็นเซนติเมตร</t>
  </si>
  <si>
    <t>การเปรียบเทียบความยาว</t>
  </si>
  <si>
    <t>การคูณจำนวนหนึ่งหลักกับจำนวนสองหลักและมีการทด</t>
  </si>
  <si>
    <t>โจทย์ปัญหาการคูณ</t>
  </si>
  <si>
    <t>การหาร</t>
  </si>
  <si>
    <t>การตวง</t>
  </si>
  <si>
    <t>การบวก ลบ คูณ หารระคน</t>
  </si>
  <si>
    <t>ครูปุณยกร แสงงาม</t>
  </si>
  <si>
    <t>ครูอนงค์ ปานเพชร</t>
  </si>
  <si>
    <t>คณิตศาสตร์</t>
  </si>
  <si>
    <t>ครูจรัสศรี นามเสนาะ</t>
  </si>
  <si>
    <t>ครูสำราญ จุลมุสิก</t>
  </si>
  <si>
    <t>ครูยุพิน กองเสียงสังข์</t>
  </si>
  <si>
    <t>ครูกุสุมา  บุญทะโชติ</t>
  </si>
  <si>
    <t>อัญชลี สุกใส</t>
  </si>
  <si>
    <t>อ.อัญชุลี ศิริประพนธ์โรจน์</t>
  </si>
  <si>
    <t>โรงเรียนอนุบาลบ้านแพ้ว     (วันครู๒๕๐๐)</t>
  </si>
  <si>
    <t>โรงเรียนบ้านคุยมะตูม</t>
  </si>
  <si>
    <t>โรงเรียนอนุบาลบ้านแพ้ว(วันครู๒๕๐๐)</t>
  </si>
  <si>
    <t>วัดดอนทองฯ</t>
  </si>
  <si>
    <t>รร.ราชวินิต</t>
  </si>
  <si>
    <t>โรงเรียนสาธิตจุฬาฯ ฝ่ายประถม</t>
  </si>
  <si>
    <t>จ.สมุทรสาคร</t>
  </si>
  <si>
    <t>https://www.youtube.com/watch?v=yJviyDFPNsU</t>
  </si>
  <si>
    <t xml:space="preserve">บวกลบไม่เกิน100,000 ไม่มีตัวทด/มีตัวทด
ครูสำราญ จุลมุสิค                     </t>
  </si>
  <si>
    <t>https://www.youtube.com/watch?v=WNGAXirSyt4</t>
  </si>
  <si>
    <t>https://www.youtube.com/watch?v=xTPnZFFBM6k</t>
  </si>
  <si>
    <t>https://www.youtube.com/watch?v=ogKp7IwEq2k</t>
  </si>
  <si>
    <t xml:space="preserve">บวกลบไม่เกิน100,000 ลบที่มี/ไม่มีการกระจาย
ครูสำราญ จุลมุสิค                     </t>
  </si>
  <si>
    <t>https://www.youtube.com/watch?v=C4nF9NdUbG8</t>
  </si>
  <si>
    <t>https://www.youtube.com/watch?v=sK16Xi7nE6o</t>
  </si>
  <si>
    <t>https://www.youtube.com/watch?v=oQohgrLFZR0</t>
  </si>
  <si>
    <t>https://www.youtube.com/watch?v=SJ9zNfRax2I</t>
  </si>
  <si>
    <t>https://www.youtube.com/watch?v=57tfI7pdduY</t>
  </si>
  <si>
    <t>https://www.youtube.com/watch?v=zrU-e-Iweo4</t>
  </si>
  <si>
    <t>https://www.youtube.com/watch?v=ufkeHJAr8Xw</t>
  </si>
  <si>
    <t>https://www.youtube.com/watch?v=fP-vPv5hrRs</t>
  </si>
  <si>
    <t>https://www.youtube.com/watch?v=X845KnRRv98</t>
  </si>
  <si>
    <t>บวกลบจำนวน 5 หลักขี้นไป 
ครูบริสุทธิ์ธรรม พิมพ์ศิริ</t>
  </si>
  <si>
    <t>การคูณที่มีตัวคูณมากกว่า 2 หลัก โดยการกระจาย
ครูบริสุทธิ์ธรรม พิมพ์ศิริ</t>
  </si>
  <si>
    <t>การคูณที่มีตัวคูณมากกว่า 2 หลัก โดยวิธีลัด
ครูบริสุทธิ์ธรรม พิมพ์ศิริ</t>
  </si>
  <si>
    <t>https://www.youtube.com/watch?v=5ANfjwQ2j9I</t>
  </si>
  <si>
    <t>การหารที่หารได้ลงตัวและ หารไม่ลงตัว
ครูบริสุทธิ์ธรรม พิมพ์ศิริ</t>
  </si>
  <si>
    <t>วิเคราะห์โจทย์ปัญหาและเขียน แทนด้วยประโยคสัญลักษณ์ 
ครูบริสุทธิ์ธรรม พิมพ์ศิริ</t>
  </si>
  <si>
    <t>วิเคราะห์/แสดงวิธีหาคำตอบของ โจทย์ปัญหาระคน การบวก การลบ
ครูบริสุทธิ์ธรรม พิมพ์ศิริ</t>
  </si>
  <si>
    <t>https://www.youtube.com/watch?v=lZtw2J_VmPo</t>
  </si>
  <si>
    <t>https://www.youtube.com/watch?v=V-hMeV5Bw0A</t>
  </si>
  <si>
    <t>https://www.youtube.com/watch?v=ypowpvO8CF8</t>
  </si>
  <si>
    <t>https://www.youtube.com/watch?v=iMaJLYOk2Y4</t>
  </si>
  <si>
    <t>https://www.youtube.com/watch?v=aJh5CGfdS1w</t>
  </si>
  <si>
    <t>https://www.youtube.com/watch?v=6zrnUhnkyYY</t>
  </si>
  <si>
    <t>https://www.youtube.com/watch?v=6d_zphsIBmM</t>
  </si>
  <si>
    <t>https://www.youtube.com/watch?v=vSw6D3G8ybM</t>
  </si>
  <si>
    <t>https://www.youtube.com/watch?v=rVNNm-PLR64</t>
  </si>
  <si>
    <t>https://www.youtube.com/watch?v=9gelRBxEZf8</t>
  </si>
  <si>
    <t>ค.ร.น. และ ห.ร.ม.ตอน 1 ครูธรวิทย์ จิตต์สุวรรณ</t>
  </si>
  <si>
    <t>ค.ร.น. และ ห.ร.ม.ตอน 2 ครูธรวิทย์ จิตต์สุวรรณ</t>
  </si>
  <si>
    <t>ครูอุบล สิงห์ทอง โรงเรียนอนุบาลกำแพงเพชร</t>
  </si>
  <si>
    <t>จำนวนเต็ม ที่มา ประเภท การเปรียบเทียบจำนวนเต็ม 
ครูจิตราภา ศรีเดชานุพงศ์</t>
  </si>
  <si>
    <t>การบวกจำนวนเต็ม 
ครูจิตราภา ศรีเดชานุพงศ์</t>
  </si>
  <si>
    <t>การลบจำนวนเต็ม
ครูจิตราภา ศรีเดชานุพงศ์</t>
  </si>
  <si>
    <t>การคูณ/หาร จำนวนเต็ม
ครูจิตราภา ศรีเดชานุพงศ์</t>
  </si>
  <si>
    <t>ลำดับขั้นการคิดคำนวณ จำนวนเต็ม 
ครูจิตราภา ศรีเดชานุพงศ์</t>
  </si>
  <si>
    <t>ครูเบญจวรรณ ปังเอี้ยน  โรงเรียนหาดใหญ่วิทยาลัย สงขลา</t>
  </si>
  <si>
    <t>อัตราส่วน
ครูเพ็ญศิริ ศรีสว่าง</t>
  </si>
  <si>
    <t>สัดส่วน
ครูเพ็ญศิริ ศรีสว่าง</t>
  </si>
  <si>
    <t>25</t>
  </si>
  <si>
    <t>ร้อยละ
ครูเพ็ญศิริ ศรีสว่าง</t>
  </si>
  <si>
    <t>26</t>
  </si>
  <si>
    <t>โจทย์ร้อยละ ตอน 1
ครูเพ็ญศิริ ศรีสว่าง</t>
  </si>
  <si>
    <t>โจทย์ร้อยละ ตอน 2
ครูเพ็ญศิริ ศรีสว่าง</t>
  </si>
  <si>
    <t>ครูวรรณวิสา จันทร์สุนทราพร พระปฐมวิทยาลัย</t>
  </si>
  <si>
    <t>ท. 1.1</t>
  </si>
  <si>
    <t>ท. 4.1</t>
  </si>
  <si>
    <t>ท. 5.1</t>
  </si>
  <si>
    <t>ครูลักษณ์ ทรงธรรม                                                                                                      สามเสนวิทยาลัย (ถ่ายทำ 19 พ.ค.)</t>
  </si>
  <si>
    <t>ครูลักษณ์ ทรงธรรม                                                                             สามเสนวิทยาลัย (ถ่ายทำ 20 พ.ค.)</t>
  </si>
  <si>
    <t>โกเมน อรัญเวศ                                                                     เบ็ญจะมะมหาราช อุบลราชธานี (ตัดต่อ)</t>
  </si>
  <si>
    <t>สรุปความรู้และข้อคิดจากการอ่าน ตอนที่ 1 การอ่านบทเพลง</t>
  </si>
  <si>
    <t>สรุปความรู้และข้อคิดจากการอ่าน ตอนที่ 2 การอ่านบทร้อยกรอง</t>
  </si>
  <si>
    <t>ชนิดและหน้าที่ของคำ
(คำนาม) ตอน 1</t>
  </si>
  <si>
    <t>ชนิดและหน้าที่ของคำ
(คำนาม) ตอน 2</t>
  </si>
  <si>
    <t>การใช้พจนานุกรม ตอน 1</t>
  </si>
  <si>
    <t>การใช้พจนานุกรม ตอน 2</t>
  </si>
  <si>
    <t>แต่งประโยคง่าย ๆ
(ประโยคคำถาม) ตอนที่ 1</t>
  </si>
  <si>
    <t>แต่งประโยคง่าย ๆ
(ประโยคคำถาม) ตอนที่ 2</t>
  </si>
  <si>
    <t>แต่งประโยคง่าย ๆ
(ประโยคปฏิเสธ) ตอนที่ 1</t>
  </si>
  <si>
    <t>แต่งประโยคง่าย ๆ
(ประโยคปฏิเสธ) ตอนที่ 2</t>
  </si>
  <si>
    <t>แต่งประโยคง่าย ๆ
(คำคล้องจอง) ตอนที่ 1</t>
  </si>
  <si>
    <t>แต่งประโยคง่าย ๆ
(คำคล้องจอง) ตอนที่ 2</t>
  </si>
  <si>
    <t>ระบุข้อคิดจากการอ่านวรรณกรรมเพื่อนำไปใช้ในชีวิตประจำวัน นิทานหรือเรื่องในท้องถิ่น ตอนที่ 1</t>
  </si>
  <si>
    <t>ระบุข้อคิดจากการอ่านวรรณกรรมเพื่อนำไปใช้ในชีวิตประจำวัน นิทานหรือเรื่องในท้องถิ่น ตอนที่ 2</t>
  </si>
  <si>
    <t xml:space="preserve">ระบุข้อคิดจากการอ่านวรรณกรรมเพื่อนำไปใช้ในชีวิตประจำวัน เพลงพื้นบ้าน ตอนที่ 1 </t>
  </si>
  <si>
    <t>ม.4-ม.6 เล่ม 1</t>
  </si>
  <si>
    <t>ระบุข้อคิดจากการอ่านเพื่อนำไปใช้ในชีวิตประจำวัน
(เพลงพื้นบ้าน) ตอนที่ 2</t>
  </si>
  <si>
    <t>ตัวสะกดไม่ตรงมาตรา แม่ กก</t>
  </si>
  <si>
    <t>ตัวสะกดไม่ตรงมาตรา แม่ กบ</t>
  </si>
  <si>
    <t>ตัวสะกดไม่ตรงมาตรา แม่ กด</t>
  </si>
  <si>
    <t>ตัวสะกดไม่ตรงมาตรา แม่ กน</t>
  </si>
  <si>
    <t>การเขียนเรื่องตามจินตนาการ ตอน 1</t>
  </si>
  <si>
    <t>การเขียนเรื่องตามจินตนาการ ตอน 2</t>
  </si>
  <si>
    <t>บุปผา ล้วนเล็ก</t>
  </si>
  <si>
    <t>ครูเครือรัตน์ ฤทธิเดช</t>
  </si>
  <si>
    <t>ครูสำนวน ประสงค์จีน</t>
  </si>
  <si>
    <t>สำนวน ประสงค์จีน</t>
  </si>
  <si>
    <t xml:space="preserve"> รร.บ้านท่าฝาง</t>
  </si>
  <si>
    <t>เซต, เอกภพสัมพัทธ์, สมาชิกของเซต
ครูธเนษฐ ชวาลสันตติ</t>
  </si>
  <si>
    <t>โรงเรียนวัดอ่างทอง</t>
  </si>
  <si>
    <t>โรงเรียนบ้านโพนทัน</t>
  </si>
  <si>
    <t>สับเซต, เพาเวอร์เซต ตอน 1 
ครูธเนษฐ ชวาลสันตติ</t>
  </si>
  <si>
    <t xml:space="preserve"> เพาเวอร์เซต ตอน 2, การดำเนินการของเซต ตอน 1 
ครูธเนษฐ ชวาลสันตติ</t>
  </si>
  <si>
    <t>รร.บ้านโพนทัน</t>
  </si>
  <si>
    <t>ประจวบคีรีขันธ์</t>
  </si>
  <si>
    <t>จ.สงขลา</t>
  </si>
  <si>
    <t>จ.ยโสธร</t>
  </si>
  <si>
    <t xml:space="preserve"> การดำเนินการของเซต ตอน 2
ครูธเนษฐ ชวาลสันตติ</t>
  </si>
  <si>
    <t>จ.ประจวบคีรีขันธ์</t>
  </si>
  <si>
    <t>https://www.youtube.com/watch?v=QRItdZ59s2Q</t>
  </si>
  <si>
    <t>https://www.youtube.com/watch?v=h1pcuTgA7is</t>
  </si>
  <si>
    <t>https://www.youtube.com/watch?v=J3Ff0euPja0</t>
  </si>
  <si>
    <t>https://www.youtube.com/watch?v=a6NF1ITrOtE</t>
  </si>
  <si>
    <t>https://www.youtube.com/watch?v=b1ou7YAUq1o</t>
  </si>
  <si>
    <t>https://www.youtube.com/watch?v=S8zA-X9xg0A</t>
  </si>
  <si>
    <t>https://www.youtube.com/watch?v=4dLncu6AtIU</t>
  </si>
  <si>
    <t>ม.4-ม.6 เล่ม 2</t>
  </si>
  <si>
    <t>https://www.youtube.com/watch?v=H-O9FGP0X4U</t>
  </si>
  <si>
    <t>ครูแก้ว สกุลเสริมไกรศรี โรงเรียนมัธยมวัดนายโรง กทม.</t>
  </si>
  <si>
    <t>https://www.youtube.com/watch?v=KH8RNv3ZMZ4</t>
  </si>
  <si>
    <t>https://www.youtube.com/watch?v=g-9MotYaWfM</t>
  </si>
  <si>
    <t>https://www.youtube.com/watch?v=D90JXn4ceME</t>
  </si>
  <si>
    <t>https://www.youtube.com/watch?v=xr88nnL1RBM</t>
  </si>
  <si>
    <t>https://www.youtube.com/watch?v=23mqY3dihHw</t>
  </si>
  <si>
    <t>ม.4-ม.6 เล่ม 3</t>
  </si>
  <si>
    <t>ครูพนิดา ยอดรัก โรงเรียนวชิรธรรมสาธิต</t>
  </si>
  <si>
    <t>https://www.youtube.com/watch?v=gUrWN03CPuw</t>
  </si>
  <si>
    <t>https://www.youtube.com/watch?v=MrFSosnImi0</t>
  </si>
  <si>
    <t>ค 2.2</t>
  </si>
  <si>
    <t>ครูวรรณจรรย์ พัชรวิริยานนท์                                                            หาดใหญ่วิทยาลัย (ถ่ายทำ 19 พ.ค)</t>
  </si>
  <si>
    <t>ค 4.1</t>
  </si>
  <si>
    <t>https://www.youtube.com/watch?v=2lwp0bz5hZg</t>
  </si>
  <si>
    <t>การเปรียบเทียบจำนวน
และเครื่องหมาย &gt; , &lt; , = , ≠</t>
  </si>
  <si>
    <t>การเรียงลำดับจำนวน</t>
  </si>
  <si>
    <t>https://www.youtube.com/watch?v=nIVLP2gDJeI</t>
  </si>
  <si>
    <t>https://www.youtube.com/watch?v=J_dQ2efmtNI</t>
  </si>
  <si>
    <t>https://www.youtube.com/watch?v=YNJgns4oL3k</t>
  </si>
  <si>
    <t>https://www.youtube.com/watch?v=Y2bGK8LB164</t>
  </si>
  <si>
    <t>https://www.youtube.com/watch?v=DQSfcOJocFc</t>
  </si>
  <si>
    <t>https://www.youtube.com/watch?v=_col3YYmXks</t>
  </si>
  <si>
    <t>https://www.youtube.com/watch?v=JX4lW9gqhiM</t>
  </si>
  <si>
    <t>https://www.youtube.com/watch?v=v8oA5bm1zKQ</t>
  </si>
  <si>
    <t>https://www.youtube.com/watch?v=7UF8U4lX6zE</t>
  </si>
  <si>
    <t>https://www.youtube.com/watch?v=WzYw2U1_Be0</t>
  </si>
  <si>
    <t>https://www.youtube.com/watch?v=9_zCQl-RxQo</t>
  </si>
  <si>
    <t>https://www.youtube.com/watch?v=iYsp7x5fe10</t>
  </si>
  <si>
    <t>โจทย์ปัญหาการบวกการลบ
ที่มีผลลัพท์และตัวตั้ง
ไม่เกิน 100,000: 
การวิเคราะห์โจทย์ปัญหา</t>
  </si>
  <si>
    <t>โจทย์ปัญหาการบวกการลบ
ที่มีผลลัพท์และตัวตั้ง
ไม่เกิน 100,000: 
การแก้โจทย์ปัญหาการบวก</t>
  </si>
  <si>
    <t>โจทย์ปัญหาการบวกการลบ
ที่มีผลลัพท์และตัวตั้ง
ไม่เกิน 100,000: 
การแก้โจทย์ปัญหาการลบ</t>
  </si>
  <si>
    <t>ความสัมพันธ์
ระหว่างหน่วยความยาว</t>
  </si>
  <si>
    <t>เปรียบเทียบการวัดความยาว</t>
  </si>
  <si>
    <t>ความสัมพันธ์ระหว่างหน่วยการชั่ง</t>
  </si>
  <si>
    <t>ความสัมพันธ์ระหว่างหน่วยเวลา</t>
  </si>
  <si>
    <t>โจทย์ปัญหาที่เกี่ยวกับเวลา</t>
  </si>
  <si>
    <t>โจทย์ปัญหาที่เกี่ยวกับความยาว:
การแก้โจทย์ปัญหาการบวก</t>
  </si>
  <si>
    <t>โจทย์ปัญหาที่เกี่ยวกับความยาว:
การแก้โจทย์ปัญหาการลบ</t>
  </si>
  <si>
    <t>โจทย์ปัญหาเกี่ยวกับการชั่ง</t>
  </si>
  <si>
    <t>โจทย์ปัญหาเกี่ยวกับการตวง</t>
  </si>
  <si>
    <t>วิทยาศาสตร์</t>
  </si>
  <si>
    <t>แบบรูปของจำนวนที่เพิ่มขึ้น               และลดลงอย่างมีนัย ตอนที่ 1</t>
  </si>
  <si>
    <t>แบบรูปของจำนวนที่เพิ่มขึ้น               และลดลงอย่างมีนัย ตอนที่ 2</t>
  </si>
  <si>
    <t>แบบรูปของรูปเรขาคณิต</t>
  </si>
  <si>
    <t>เรขาคณิต</t>
  </si>
  <si>
    <t>ครูนงลักษณ์ สุขสมศักดิ์</t>
  </si>
  <si>
    <t>สำราญ จุลมุสิค</t>
  </si>
  <si>
    <t>ครูเรณู สีเอง</t>
  </si>
  <si>
    <t>ศิริเพ็ญ ได้พร</t>
  </si>
  <si>
    <t>อภิญญากุล หาญกุล</t>
  </si>
  <si>
    <t>พยูง ไชยกิจ</t>
  </si>
  <si>
    <t>วิภาพร สุรเดชาปัญญากุล</t>
  </si>
  <si>
    <t>โรงเรียนอนุบาลบ้านแพ้ว (วันครู ๒๕oo)</t>
  </si>
  <si>
    <t>รร.อนุบาลกำแพงเพชร</t>
  </si>
  <si>
    <t>โรงเรียนราชวินิต</t>
  </si>
  <si>
    <t>รร.อนุบาลวัดปิตุลาธิราช    รังสฤษฎ์</t>
  </si>
  <si>
    <t xml:space="preserve">โรงเรียนตำบลโคกกรวด (ผดุงรัฐประชานุกูล) </t>
  </si>
  <si>
    <t>พืชต้องการน้ำและแสง       ตอน 1                        ครูอัจฉรา โพธิ์สุวรรณ</t>
  </si>
  <si>
    <t>พืชต้องการน้ำและแสง       ตอน 2                        ครูอัจฉรา โพธิ์สุวรรณ</t>
  </si>
  <si>
    <t>ฉะเชิงเทรา</t>
  </si>
  <si>
    <t>แสงเป็นปัจจัยสำคัญ ในการเจริญเติบโด ตอน 1 ครูอัจฉรา โพธิ์สุวรรณ</t>
  </si>
  <si>
    <t>แสงเป็นปัจจัยสำคัญ ในการเจริญเติบโด ตอน 2 ครูอัจฉรา โพธิ์สุวรรณ</t>
  </si>
  <si>
    <t>จ.นครราชสีมา</t>
  </si>
  <si>
    <t>https://www.youtube.com/watch?v=poCgPHFMUWc</t>
  </si>
  <si>
    <t>https://www.youtube.com/watch?v=sGabg22TUmU</t>
  </si>
  <si>
    <t>ครูสมชาย ปลัดสังข์                                                                                                                           อนุบาลสามเสน (ถ่ายแล้ว รอตัดต่อ)</t>
  </si>
  <si>
    <t>https://www.youtube.com/watch?v=rexl024afPY&amp;feature=youtu.be</t>
  </si>
  <si>
    <t>https://www.youtube.com/watch?v=OzasRJkTQts</t>
  </si>
  <si>
    <t>https://www.youtube.com/watch?v=RKwzUWqdK7I</t>
  </si>
  <si>
    <t>https://www.youtube.com/watch?v=EHbA1Zm8p88</t>
  </si>
  <si>
    <t>https://www.youtube.com/watch?v=Lza20-B6eA8</t>
  </si>
  <si>
    <t>https://www.youtube.com/watch?v=ydvBc9fO0Sk</t>
  </si>
  <si>
    <t>หน้าที่ของท่อลำเลียงน้ำ และอาหาร               ครูเฉลิมชัย วัดเข้าหลาม</t>
  </si>
  <si>
    <t>โครงสร้างหน้าที่ของท่อ ลำเลียง                     ครูเฉลิมชัย วัดเข้าหลาม</t>
  </si>
  <si>
    <t>หน้าที่ของใบพืช               ครูเฉลิมชัย วัดเข้าหลาม</t>
  </si>
  <si>
    <t>https://www.youtube.com/watch?v=HyMHa_Co608</t>
  </si>
  <si>
    <t>การคายน้ำของพืช               ครูเฉลิมชัย วัดเข้าหลาม</t>
  </si>
  <si>
    <t>ลักษณะของปากใบ    ครูเฉลิมชัย วัดเข้าหลาม</t>
  </si>
  <si>
    <t>การตอบสนองของพืช ต่อสิ่งเร้า                  ครูเฉลิมชัย วัดเข้าหลาม</t>
  </si>
  <si>
    <t>การนำความรู้เกี่ยวกับ พฤติกรรมสัตว์ไปใช้ประโยชน์    ครูเฉลิมชัย วัดเข้าหลาม</t>
  </si>
  <si>
    <t>https://www.youtube.com/watch?v=lacUiAxgiTw</t>
  </si>
  <si>
    <t>https://www.youtube.com/watch?v=-BsmTJzVkJk</t>
  </si>
  <si>
    <t>https://www.youtube.com/watch?v=EN7MyZyKrCE</t>
  </si>
  <si>
    <t>https://www.youtube.com/watch?v=kf5_w74lZvk</t>
  </si>
  <si>
    <t>ครูชวนพิศ แสงสวย อุบลวิทยาคม อุบลราชธานี (ถ่ายทำ 13 พ.ค)</t>
  </si>
  <si>
    <t>https://www.youtube.com/watch?v=lQ_CTXWYjo0</t>
  </si>
  <si>
    <t>https://www.youtube.com/watch?v=mlePEnGP-Ew</t>
  </si>
  <si>
    <t>https://www.youtube.com/watch?v=Rou5h2j9bo4</t>
  </si>
  <si>
    <t>https://www.youtube.com/watch?v=TJscAExnh3U</t>
  </si>
  <si>
    <t>ระบบย่อยอาหาร         ครูศศิธร เขียวกอ</t>
  </si>
  <si>
    <t>ระบบหมุนเวียนเลือด         ครูศศิธร เขียวกอ</t>
  </si>
  <si>
    <t>ระบบหายใจ         ครูศศิธร เขียวกอ</t>
  </si>
  <si>
    <t>https://www.youtube.com/watch?v=HVEuysEzFQs</t>
  </si>
  <si>
    <t>ครูมลฤดี นิลนิตย์                                                        อนุบาลสามเสน (ถ่ายทำแล้ว 7 พ.ค)</t>
  </si>
  <si>
    <t>https://www.youtube.com/watch?v=qEDt5Ufky8k</t>
  </si>
  <si>
    <t xml:space="preserve"> ครูศศิธร เขียวกอ</t>
  </si>
  <si>
    <t>https://www.youtube.com/watch?v=Dq2MZz1o5BI</t>
  </si>
  <si>
    <t>ครูกรวรรณ คูณตาแสง</t>
  </si>
  <si>
    <t>https://www.youtube.com/watch?v=hXO-yx_vffk</t>
  </si>
  <si>
    <t>https://www.youtube.com/watch?v=6nZt1MUg9fA</t>
  </si>
  <si>
    <t>https://www.youtube.com/watch?v=CH0zyWm88b4</t>
  </si>
  <si>
    <t>https://www.youtube.com/watch?v=FNj6RBHQ6kw</t>
  </si>
  <si>
    <t>https://www.youtube.com/watch?v=AybL-pMm9Ac</t>
  </si>
  <si>
    <t>ครูธานี จันทร์นาง                                                                                                 วิเชียรกลิ่นสุคนธ์อุปถัมภ์ อยุธยา (ถ่ายทำเสร็จแล้ว)</t>
  </si>
  <si>
    <t>ครูธานี จันทร์นาง                                                                                             วิเชียรกลิ่นสุคนธ์อุปถัมภ์ อยุธยา (ถ่ายทำวันที่ 18 )</t>
  </si>
  <si>
    <t>การสกัดด้วยตัวทำละลาย ครูนิตยา มะโนคำ</t>
  </si>
  <si>
    <t>โครมาโทกราฟี             ครูนิตยา มะโนคำ</t>
  </si>
  <si>
    <t>สัญลักษณ์นิวเคลียร์     ครูนิตยา มะโนคำ</t>
  </si>
  <si>
    <t>สมบัติธาตุโลหะ กึ่งโลหะ อโลหะ                          ครูนิตยา มะโนคำ</t>
  </si>
  <si>
    <t>ครูแอนนา สุขสังวาลย์                                                                        หาดใหญ่วิทยาลัย สงขลา (ถ่ายทำวันที่ 20 พ.ค.)</t>
  </si>
  <si>
    <t>แรงกิริยา แรงปฏิกิริยา ครูสัญชัย วัฒนกุล</t>
  </si>
  <si>
    <t>แรงเสียดทาน              ครูสัญชัย วัฒนกุล</t>
  </si>
  <si>
    <t>แรงพยุงของของเหลว      ตอน 1                         ครูสัญชัย วัฒนกุล</t>
  </si>
  <si>
    <t>แรงพยุงของของเหลว      ตอน 2                         ครูสัญชัย วัฒนกุล</t>
  </si>
  <si>
    <t>สุภาพร ดวงศรี เบ็ญจะมะมหาราช                         อุบลราชธานี (ตัดต่อ)</t>
  </si>
  <si>
    <t>คสพ.ความต้านทานกับชนิด ขนาด และความ ยาวของตัวนำ                        ครูสัญชัย วัฒนกุล</t>
  </si>
  <si>
    <t>ม.4-ม.6 ฟิสิกส์</t>
  </si>
  <si>
    <t>ครูอาทิตย์ พงศุสุพัฒน์                                                                                                                                              บุญวาทย์วิทยาลัย ลำปาง (ถ่ายทำเสร็จแล้ว)</t>
  </si>
  <si>
    <t>แรงจากสนามโน้มถ่วง ครูเทวัญ ดีจรัส</t>
  </si>
  <si>
    <t>แรงจากสนามไฟฟ้า    ครูเทวัญ ดีจรัส</t>
  </si>
  <si>
    <t>แรงจากสนามแม่เหล็ก ครูเทวัญ ดีจรัส</t>
  </si>
  <si>
    <t>คลื่นกลและองค์ประกอบ ของคลื่น                      ครูเทวัญ ดีจรัส</t>
  </si>
  <si>
    <t xml:space="preserve">ครูธิติพัทธ์ ชุติวัฒน์โสภณ ราชวินิตมัธยม </t>
  </si>
  <si>
    <t>ม.4-ม.6 เคมี</t>
  </si>
  <si>
    <t xml:space="preserve">อนุภาคมูลฐานของอะตอม ตอน 1                       ครูสุภลักษณ์ สถิตไชยนนท์                     </t>
  </si>
  <si>
    <t xml:space="preserve">อนุภาคมูลฐานของอะตอม ตอน 2                       ครูสุภลักษณ์ สถิตไชยนนท์                     </t>
  </si>
  <si>
    <t>ชุติมันท์ ชัยบาล วัฒโนทัยพายัพ                   (ถ่าย 19 พ.ค.)</t>
  </si>
  <si>
    <t>ตารางธาตุ                   นภาจิตร ดุสดี</t>
  </si>
  <si>
    <t>วรันต์ภรณ์ คังคะประดิษฐ์                                พระปฐมวิทยาลัย(ถ่ายทำ 25 พ.ค.)</t>
  </si>
  <si>
    <t>ม.4-ม.6 ชีววิทยา</t>
  </si>
  <si>
    <t>ท 5..1</t>
  </si>
  <si>
    <t>ปฤษฎางค์ เกี้ยงเก่า กุดชุมวิทยาคม ยโสธร</t>
  </si>
  <si>
    <t xml:space="preserve">การลำเลียงสารโดย ไม่ผ่านเยื่อหุ้มเซลล์        ภูษณิศา กุณสิทธิ์                                                     </t>
  </si>
  <si>
    <t xml:space="preserve">การออสโมซิส               ภูษณิศา กุณสิทธิ์                                                     </t>
  </si>
  <si>
    <t>ธนบดี อินหาดกรวด ราชวินิตมัธยม              (ถ่ายทำ 19 พ.ค.)</t>
  </si>
  <si>
    <t>กมลรัตน์ ฉิมพาลี                                                ถนนหักพิทยาคม บุรีรัมภ์</t>
  </si>
  <si>
    <t>กมลรัตน์ ฉิมพาลี ถนนหักพิทยาคม บุรีรัมภ์</t>
  </si>
  <si>
    <t>ม.4-ม.6 โลก&amp; ดาราศาสตร์</t>
  </si>
  <si>
    <t xml:space="preserve">ครูเอนก ประดิษฐพงษ์                                                                                                                       นวมินทราชินูทิศ สวนกุหลาบฯ ปทุมธานี </t>
  </si>
  <si>
    <t>https://www.youtube.com/watch?v=azugOoboN0s</t>
  </si>
  <si>
    <t>https://www.youtube.com/watch?v=cd2YRvxMmSY</t>
  </si>
  <si>
    <t>https://www.youtube.com/watch?v=T1Ykzg27pI0</t>
  </si>
  <si>
    <t>https://www.youtube.com/watch?v=Gq1DZIRvfJs</t>
  </si>
  <si>
    <t>ค 5.1</t>
  </si>
  <si>
    <t>การเขียนจดหมายถึงเพื่อน
และบิดามารดา</t>
  </si>
  <si>
    <t>การเขียนบันทึก
การเขียนรายงาน</t>
  </si>
  <si>
    <t>การจับใจความ และ 
การพูดแสดงความคิดเห็น
ในเรื่องที่ฟังและดูจากสื่อต่าง ๆ 
(เรื่องเล่า บทความ ข่าว
และเหตุการณ์ โฆษณา 
สื่ออิเล็กทรอนิกส์)</t>
  </si>
  <si>
    <t>การรายงาน การพูดตามลำดับ
ขั้นตอนการปฏิบัติ
การลำดับเหตุการณ์</t>
  </si>
  <si>
    <t>มาตราตัวสะกด</t>
  </si>
  <si>
    <t>การบวก</t>
  </si>
  <si>
    <t>ชนิดของคำและหน้าที่ของคำในประโยค</t>
  </si>
  <si>
    <t>การลบ</t>
  </si>
  <si>
    <t>การใช้พจนานุกรม</t>
  </si>
  <si>
    <t>การแต่งประโยค 2 ส่วน และประโยค 3 ส่วน</t>
  </si>
  <si>
    <t>การแก้โจทย์ปัญหาการบวกและการลบโดยใช้รูปบาร์โมเดล ตอน 1</t>
  </si>
  <si>
    <t>การแต่งบทร้อยกรอง
และคำขวัญ
(กลอนสี่)</t>
  </si>
  <si>
    <t>การแก้โจทย์ปัญหาการบวกและการลบโดยใช้รูปบาร์โมเดล ตอน 2</t>
  </si>
  <si>
    <t>การแต่งบทร้อยกรอง
และคำขวัญ
(คำขวัญ)</t>
  </si>
  <si>
    <t>สำนวน คำพังเพย และสุภาษิต</t>
  </si>
  <si>
    <t>ภาษาไทยมาตรฐาน
กับภาษาท้องถิ่น</t>
  </si>
  <si>
    <t>วรรณคดีและวรรณกรรม (ประเพณีพื้นบ้าน, ประเพณีบุญบั้งไฟ)</t>
  </si>
  <si>
    <t>วรรณคดีและวรรณกรรม (การวิจารณ์ตัวละคร)</t>
  </si>
  <si>
    <t>เพลงพื้นบ้าน</t>
  </si>
  <si>
    <t>การอ่านบทร้อยกรอง</t>
  </si>
  <si>
    <t>ลมัย มีขันหมาก</t>
  </si>
  <si>
    <t>บุญตาม ใจงาม</t>
  </si>
  <si>
    <t>ครูปรีชา ช่วยดวง</t>
  </si>
  <si>
    <t>ครูทัศนีย์ วิเชียรบรรจง</t>
  </si>
  <si>
    <t>สังคมศึกษา ศาสนา และวัฒนธรรม</t>
  </si>
  <si>
    <t>การแก้โจทย์ปัญหาการบวกและการลบโดยใช้รูปบาร์โมเดล ตอน 3</t>
  </si>
  <si>
    <t>รร.บ้านบากเรือดอนเรือ</t>
  </si>
  <si>
    <t>โรงเรียนบ้านยวนโปะ</t>
  </si>
  <si>
    <t>การแก้โจทย์ปัญหาการบวกและการลบโดยใช้รูปบาร์โมเดล ตอน 4</t>
  </si>
  <si>
    <t>การแก้โจทย์ปัญหาการบวกและการลบโดยใช้รูปบาร์โมเดล ตอน 5</t>
  </si>
  <si>
    <t>การคูณ ตอน 1</t>
  </si>
  <si>
    <t>โรงเรียนอนุบาลลำปาง (เขลางค์รัตน์อนุสรณ์)</t>
  </si>
  <si>
    <t>การคูณ ตอน 2</t>
  </si>
  <si>
    <t>การหาร 
(ตัวหารไม่เกินสามหลัก)</t>
  </si>
  <si>
    <t>โจทย์ปัญหาการหาร</t>
  </si>
  <si>
    <t>มุม</t>
  </si>
  <si>
    <t>เส้นขนาน</t>
  </si>
  <si>
    <t>ส่วนประกอบของรูปวงกลม</t>
  </si>
  <si>
    <t>รูปสี่เหลี่ยมมุมฉาก</t>
  </si>
  <si>
    <t>แบบรูปของจำนวน</t>
  </si>
  <si>
    <t>แบบรูปของรูปเรขาคณิตและรูปอื่น ๆ</t>
  </si>
  <si>
    <t>การเขียนแผนภูมิ
(แผนภูมิรูปภาพ / แผนภูมิแท่ง)
ตอน 1</t>
  </si>
  <si>
    <t>การเขียนแผนภูมิ
(แผนภูมิรูปภาพ / แผนภูมิแท่ง)
ตอน 2</t>
  </si>
  <si>
    <t>จรัสศรี นามเสนาะ</t>
  </si>
  <si>
    <t>รัชนีวรรณ ศิลาโล้</t>
  </si>
  <si>
    <t>ตรัง</t>
  </si>
  <si>
    <t>จ.ลำปาง</t>
  </si>
  <si>
    <t>ครูอรทัย สุดบับ</t>
  </si>
  <si>
    <t>ครูพรนิภา ยศบุญเรือง</t>
  </si>
  <si>
    <t>ครูชอ้อน นิตสร้อย</t>
  </si>
  <si>
    <t>พิกุล เทพทะเล</t>
  </si>
  <si>
    <t>ปิยพร จันทร์น้อย</t>
  </si>
  <si>
    <t>ปีใหม่ล้านนา ตอน 1 ครูวราภรณ์ ศุภฐิติพงศ์</t>
  </si>
  <si>
    <t>ปีใหม่ล้านนา ตอน 2 ครูวราภรณ์ ศุภฐิติพงศ์</t>
  </si>
  <si>
    <t>วันวิสาขบูชา ตอน 1 ครูวราภรณ์ ศุภฐิติพงศ์</t>
  </si>
  <si>
    <t>วันวิสาขบูชา ตอน 2 ครูวราภรณ์ ศุภฐิติพงศ์</t>
  </si>
  <si>
    <t>รร.อนุบาลบ้านแพ้ว (วันครู ๒๕oo)</t>
  </si>
  <si>
    <t>โรงเรียนบ้านปากปาด</t>
  </si>
  <si>
    <t>โรงเรียนอนุบาลลำปาง(เขลางค์รัตน์อนุสรณ์)</t>
  </si>
  <si>
    <t>โรงเรียนจ่าการบุญ</t>
  </si>
  <si>
    <t>https://www.youtube.com/watch?v=OzYXkOI8ZPU</t>
  </si>
  <si>
    <t xml:space="preserve">โรงเรียนตำบลโคกกรวด          (ผดุงรัฐประชานุกูล) </t>
  </si>
  <si>
    <t>https://www.youtube.com/watch?v=JBCAbCZqHaw</t>
  </si>
  <si>
    <t>สมุทรสาคร</t>
  </si>
  <si>
    <t>https://www.youtube.com/watch?v=gfRP68X4Wis</t>
  </si>
  <si>
    <t>https://www.youtube.com/watch?v=eRolAP6W41M</t>
  </si>
  <si>
    <t>จ.อุตรดิตถ์</t>
  </si>
  <si>
    <t>https://www.youtube.com/watch?v=A1d1NlAw3KE</t>
  </si>
  <si>
    <t>https://www.youtube.com/watch?v=wx6MAgaUFEw</t>
  </si>
  <si>
    <t>https://www.youtube.com/watch?v=xBNa03qmpYU</t>
  </si>
  <si>
    <t>https://www.youtube.com/watch?v=OiwqN0YhZj0</t>
  </si>
  <si>
    <t>https://www.youtube.com/watch?v=exgCl9eY11I</t>
  </si>
  <si>
    <t>ครูศิริพร พระประเสริฐ มหาวีรานุวัตร (ถ่ายทำ 28,29 พ.ค.)</t>
  </si>
  <si>
    <t>https://www.youtube.com/watch?v=CTQXkfELo6Y</t>
  </si>
  <si>
    <t>https://www.youtube.com/watch?v=pFcs9BKK2Zw</t>
  </si>
  <si>
    <t>https://www.youtube.com/watch?v=bOw5Nfnb1B4</t>
  </si>
  <si>
    <t>https://www.youtube.com/watch?v=h7iN8UUd9M8</t>
  </si>
  <si>
    <t>https://www.youtube.com/watch?v=4uFPXYqA_HY</t>
  </si>
  <si>
    <t>https://www.youtube.com/watch?v=thf8lDlGgF8</t>
  </si>
  <si>
    <t>https://www.youtube.com/watch?v=O5vFE-MU0SY</t>
  </si>
  <si>
    <t>https://www.youtube.com/watch?v=ognb4Wt5ZdU</t>
  </si>
  <si>
    <t>https://www.youtube.com/watch?v=Xs1vtWXDZHs</t>
  </si>
  <si>
    <t>https://www.youtube.com/watch?v=R5GwHHDY6ps</t>
  </si>
  <si>
    <t>https://www.youtube.com/watch?v=guCOkL4ib_I</t>
  </si>
  <si>
    <t>https://www.youtube.com/watch?v=iLJm5CASLzA</t>
  </si>
  <si>
    <t>https://www.youtube.com/watch?v=NOuLzVzzxqw</t>
  </si>
  <si>
    <t>https://www.youtube.com/watch?v=4Z66oOYajLY</t>
  </si>
  <si>
    <t>https://www.youtube.com/watch?v=dsJ-gXInL6s</t>
  </si>
  <si>
    <t>ครูปานทิพย์ ดอนขันไพร                                                                                                                                                                                           วัดสระสี่มุม นครปฐม (ถ่ายทำ 21,22 พ.ค.)</t>
  </si>
  <si>
    <t>https://www.youtube.com/watch?v=Dj5XZ3QE_60</t>
  </si>
  <si>
    <t>https://www.youtube.com/watch?v=ZM1AT-a00Gc</t>
  </si>
  <si>
    <t>https://www.youtube.com/watch?v=KOXM6_YvjME</t>
  </si>
  <si>
    <t>https://www.youtube.com/watch?v=4kYbM2C8BK0</t>
  </si>
  <si>
    <t>https://www.youtube.com/watch?v=4LA_zVxrTJQ</t>
  </si>
  <si>
    <t>https://www.youtube.com/watch?v=NfyccENjF6k</t>
  </si>
  <si>
    <t>https://www.youtube.com/watch?v=h4UxlAffKqs</t>
  </si>
  <si>
    <t>https://www.youtube.com/watch?v=E8H49JAuWMk</t>
  </si>
  <si>
    <t>https://www.youtube.com/watch?v=D7DuHRA92DI</t>
  </si>
  <si>
    <t>https://www.youtube.com/watch?v=N13pYqbcCJI</t>
  </si>
  <si>
    <t>ครูพลากร จำลอง  สวนกุหลาบฯ นนทบุรี (ถ่ายทำ 16,17 พ.ค.)</t>
  </si>
  <si>
    <t>https://www.youtube.com/watch?v=5Aeg8V9tS6s</t>
  </si>
  <si>
    <t>ปรินทร์ ทองเผือก สามเสนวิทยาลัย</t>
  </si>
  <si>
    <t>ปรินทร์ ทองเผือก สามเสนวิทยาลัย           (ถ่ายทำ 27 พ.ค.)</t>
  </si>
  <si>
    <t>ปราโมท แหวนเงิน                                                                                                                             ปรางค์กู่ ศรีสะเกษ (รอตัดต่อ)</t>
  </si>
  <si>
    <t>ศรายุธ ธารเนตร                                  หาดใหญ่วิทยาลัย สงขลา (ถ่ายทำ18 พ.ค.)</t>
  </si>
  <si>
    <t>ครูเอกภพ พรหมสุทธิรักษ์ สวนกุหลาบฯ นนทบุรี (ถ่ายทำ 16,17 พ.ค.)</t>
  </si>
  <si>
    <t>กนกพร สุขสาย เบญจะมะมหาราช อุบลฯ</t>
  </si>
  <si>
    <t>ครูจำรูญ ใจนวน ขุขันธ์ ศรีษะเกษ (ถ่ายแล้ว)</t>
  </si>
  <si>
    <t>การอ่านออกเสียง
คำที่มีอักษรนำ</t>
  </si>
  <si>
    <t>การอ่านจับใจความ
จากบทความ</t>
  </si>
  <si>
    <t>ภัทรารัตน์ ถิรภัคเขมณ์ฎฐ                                        สวนกุหลาบฯ นนทบุรี (รอตัดต่อ)</t>
  </si>
  <si>
    <t>การเขียนคำขวัญ</t>
  </si>
  <si>
    <t>การเขียนแผนภาพโครงเรื่อง</t>
  </si>
  <si>
    <t>การนำแผนภาพโครงเรื่องไปพัฒนางานเขียน</t>
  </si>
  <si>
    <t>การเขียนย่อความจากสื่อต่าง ๆ</t>
  </si>
  <si>
    <t>การตั้ง/ตอบคำถาม
จากเรื่องที่อ่าน</t>
  </si>
  <si>
    <t>การพูดแสดงความคิดเห็น</t>
  </si>
  <si>
    <t xml:space="preserve">ครูศิริประภา วิบูลย์ศิริกุล เตรียมอุดมศึกษาน้อมเกล้า </t>
  </si>
  <si>
    <t>คำบุพบท</t>
  </si>
  <si>
    <t>คำสันธาน</t>
  </si>
  <si>
    <t>คำอุทาน</t>
  </si>
  <si>
    <t>ประโยคและส่วนประกอบ     ของประโยค ตอน 1</t>
  </si>
  <si>
    <t>ประโยคและส่วนประกอบ      ของประโยค ตอน 2</t>
  </si>
  <si>
    <t>คำราชาศัพท์สำหรับพระมหากษัตริย์และพระบรมวงศานุวงศ์</t>
  </si>
  <si>
    <t>คำภาษาต่างประเทศที่ใช้ในภาษาไทย</t>
  </si>
  <si>
    <t>สำนวน คำพังเพย สุภาษิต</t>
  </si>
  <si>
    <t>นิทานพื้นบ้าน นิทานคติธรรม</t>
  </si>
  <si>
    <t>วรรณคดีในบทเรียน เรื่อง กระเช้าสีดา</t>
  </si>
  <si>
    <t>ครูตระการรัตน์ สัตตะยุกต์                                                                                                                   สวนกุหลาบฯ นนทบุรี</t>
  </si>
  <si>
    <t>ณันท์ขจร กันชาติ</t>
  </si>
  <si>
    <t>ธนัชชา ไกรอนุพงษ์</t>
  </si>
  <si>
    <t>ครูสุกัญญา สุวรรณรัตน์</t>
  </si>
  <si>
    <t>ครูชิดหทัย อ่อนสนิท</t>
  </si>
  <si>
    <t>ชิดหทัย อ่อนสนิท</t>
  </si>
  <si>
    <t>ชุลีพร รุ่งเรืองศิรินนท์</t>
  </si>
  <si>
    <t>รร.ชุมชนหนองเรือ</t>
  </si>
  <si>
    <t>เพ็ญพิศ โสติศาลากร เตรียมอุดมฯน้อมเกล้า</t>
  </si>
  <si>
    <t>โรงเรียนวัดโรงเหล็ก</t>
  </si>
  <si>
    <t>โรงเรียนบ้านปอแดงโคกสะอาด</t>
  </si>
  <si>
    <t>รร.บ้านปอแดงโคกสะอาด</t>
  </si>
  <si>
    <t>รร.อนุบาลสมุทรสาคร</t>
  </si>
  <si>
    <t>จ.นครศรีธรรมราช</t>
  </si>
  <si>
    <t>ครูตระการรัตน์ สัตตะยุกต์                                     สวนกุหลาบฯ นนทบุรี (ถ่ายทำ16 พ.ค.)</t>
  </si>
  <si>
    <t>https://www.youtube.com/watch?v=f5o-RQY7YMg</t>
  </si>
  <si>
    <t>ณัฏฐเมธร์ ดุลคนิต ราชวินิตมัธยม</t>
  </si>
  <si>
    <t>https://www.youtube.com/watch?v=78jKikSwl3c</t>
  </si>
  <si>
    <t>https://www.youtube.com/watch?v=3OhNRcwSMl0</t>
  </si>
  <si>
    <t>https://www.youtube.com/watch?v=An2Le89ifxI</t>
  </si>
  <si>
    <t>https://www.youtube.com/watch?v=Ry7d6TE6QpA</t>
  </si>
  <si>
    <t>https://www.youtube.com/watch?v=8YbJfNbqGng</t>
  </si>
  <si>
    <t>https://www.youtube.com/watch?v=L_6XVf6IiNA</t>
  </si>
  <si>
    <t>https://www.youtube.com/watch?v=km3NwmlPy3Q</t>
  </si>
  <si>
    <t>https://www.youtube.com/watch?v=YKjdGR6Dg8g</t>
  </si>
  <si>
    <t>https://www.youtube.com/watch?v=uwtf_9xZU10</t>
  </si>
  <si>
    <t>https://www.youtube.com/watch?v=pvyRNoGqC9U</t>
  </si>
  <si>
    <t>https://www.youtube.com/watch?v=jOAz9ipA5aw</t>
  </si>
  <si>
    <t>ภาษาอังกฤษ</t>
  </si>
  <si>
    <t>https://www.youtube.com/watch?v=piY7u4r8D6c</t>
  </si>
  <si>
    <t>https://www.youtube.com/watch?v=Af27SN0TmsY</t>
  </si>
  <si>
    <t>https://www.youtube.com/watch?v=SkBOJQzm3Xw</t>
  </si>
  <si>
    <t>ครูนงเยาว์                                                                                                     รร.วัดดารา สุพรรณบุรี (ถ่ายทำ 21,22 พ.ค.)</t>
  </si>
  <si>
    <t>https://www.youtube.com/watch?v=Gk8BBOkAWk8</t>
  </si>
  <si>
    <t>ครูดลวรรณ วัดราษฎร์ศรัทธาธรรม สุพรรณบุรี</t>
  </si>
  <si>
    <t>ครูนงเยาว์ รร.วัดดารา สุพรรณบุรี</t>
  </si>
  <si>
    <t>https://www.youtube.com/watch?v=1mlQSU4MR4k</t>
  </si>
  <si>
    <t>https://www.youtube.com/watch?v=auC01zi01iU</t>
  </si>
  <si>
    <t>https://www.youtube.com/watch?v=hKR5LpXX1iI</t>
  </si>
  <si>
    <t>ครูวัลภา                                                                                                                                               รร.วัดป่าพระเจ้า สุพรรณบุรี (ถ่ายทำ 21,22 พ.ค.)</t>
  </si>
  <si>
    <t>https://www.youtube.com/watch?v=KSXYjrqXXy4</t>
  </si>
  <si>
    <t>https://www.youtube.com/watch?v=euHTrSA6unM</t>
  </si>
  <si>
    <t>ครูรจนา                                                                                                                                             รร.วัดดอนโพธิ์ทอง สุพรรณบุรี (ถ่ายทำ 21,22 พ.ค.)</t>
  </si>
  <si>
    <t>ครูรัตนาภรณ์                                                                                                                                                                                    รร.บ้านห้วยบง  นครสวรรค์ (ถ่ายทำ 26 พ.ค.)</t>
  </si>
  <si>
    <t>Pronunciation
ครูประเสริฐ จันทร์กระจ่างเลิศ</t>
  </si>
  <si>
    <t>Giving Direction 1
ครูรตินธร วาดเขียน</t>
  </si>
  <si>
    <t>Giving Direction 2
ครูรตินธร วาดเขียน</t>
  </si>
  <si>
    <t>Graph</t>
  </si>
  <si>
    <t>ครูประเสริฐ จันทร์กระจ่างเลิศ        พระตำหนักสวนกุหลาบ</t>
  </si>
  <si>
    <t>https://www.youtube.com/watch?v=jNZZVZA239M</t>
  </si>
  <si>
    <t>https://www.youtube.com/watch?v=oZ_9xfS4HuI</t>
  </si>
  <si>
    <t>https://www.youtube.com/watch?v=v9S7G4K42jI</t>
  </si>
  <si>
    <t>https://www.youtube.com/watch?v=gS7f05Qgf90</t>
  </si>
  <si>
    <t>ค 1.3</t>
  </si>
  <si>
    <t>ค 3.2</t>
  </si>
  <si>
    <t>วิเคราะห์และแสดง
วิธีหาคำตอบของโจทย์ปัญหาระคน การคูณ การหาร</t>
  </si>
  <si>
    <t>วิเคราะห์โจทย์ปัญหาระคน 
การบวก ลบ คูณ หาร</t>
  </si>
  <si>
    <t>ศึกษาและฝึกวิธีการใช้เครื่องมือ
การวัดมุมแต่ละประเภท</t>
  </si>
  <si>
    <t>การวัดขนาดของมุม
โดยใช้โปรแทรกเตอร์ 
และไม้ครึ่งวงกลม</t>
  </si>
  <si>
    <t>การหาขนาดของมุมกลับ</t>
  </si>
  <si>
    <t>ชนิดของมุม ตอน 1</t>
  </si>
  <si>
    <t>ชนิดของมุม ตอน 2</t>
  </si>
  <si>
    <t>ความหมาย การอ่านและการเขียน
เศษส่วนแท้ เศษเกิน จำนวนคละ</t>
  </si>
  <si>
    <t>การเขียนเศษเกินในรูปจำนวน คละและการเขียนจำนวน คละในรูปเศษเกิน</t>
  </si>
  <si>
    <t>เศษส่วนที่เท่ากันและเศษส่วน   อย่างต่ำ</t>
  </si>
  <si>
    <t>ชนิดของรูปสี่เหลี่ยม</t>
  </si>
  <si>
    <t>ส่วนประกอบของรูปสามเหลี่ยม</t>
  </si>
  <si>
    <t>พื้นที่ของรูปสามเหลี่ยม</t>
  </si>
  <si>
    <t>ปริมาตรของทรงสี่เหลี่ยม</t>
  </si>
  <si>
    <t>บริสุทธิ์ธรรม พิมพ์สิริ</t>
  </si>
  <si>
    <t>ครูกัลยารัตน์ ไกรเกรียงศรี</t>
  </si>
  <si>
    <t>ครูจำรัส บุญเมือง</t>
  </si>
  <si>
    <t>ครูเสาวมล จันทร์แก้ว</t>
  </si>
  <si>
    <t>รร.อนุบาลสามเสน</t>
  </si>
  <si>
    <t>โรงเรียนบ้านควนยวน</t>
  </si>
  <si>
    <t>จ.ตรัง</t>
  </si>
  <si>
    <t>https://www.youtube.com/watch?v=E8IKNnZdXds</t>
  </si>
  <si>
    <t>https://www.youtube.com/watch?v=ZnExzOop9-I</t>
  </si>
  <si>
    <t>https://www.youtube.com/watch?v=Gb62u1rHuxs</t>
  </si>
  <si>
    <t>https://www.youtube.com/watch?v=fkIFXe5f5a8</t>
  </si>
  <si>
    <t>https://www.youtube.com/watch?v=UsfsRoRibJo</t>
  </si>
  <si>
    <t>https://www.youtube.com/watch?v=zUIo3VAewfs</t>
  </si>
  <si>
    <t>https://www.youtube.com/watch?v=D14Mfv9-vgU</t>
  </si>
  <si>
    <t>https://www.youtube.com/watch?v=MSeZjRKg9Fs</t>
  </si>
  <si>
    <t>https://www.youtube.com/watch?v=2u9ZO-H94iM</t>
  </si>
  <si>
    <t>https://www.youtube.com/watch?v=cpighhNy1vA</t>
  </si>
  <si>
    <t>https://www.youtube.com/watch?v=sldHn9m4tRg</t>
  </si>
  <si>
    <t>https://www.youtube.com/watch?v=_BExv-DiLS0</t>
  </si>
  <si>
    <t>https://www.youtube.com/watch?v=hokQLY7ycHQ</t>
  </si>
  <si>
    <t>https://www.youtube.com/watch?v=iA9CkcGfz2c</t>
  </si>
  <si>
    <t>https://www.youtube.com/watch?v=NVU_YRh_X94</t>
  </si>
  <si>
    <t>https://www.youtube.com/watch?v=GNGsQIiFu2g</t>
  </si>
  <si>
    <t>https://www.youtube.com/watch?v=cYjBM2i69H8</t>
  </si>
  <si>
    <t>https://www.youtube.com/watch?v=YSwPYiCzjBE</t>
  </si>
  <si>
    <t>https://www.youtube.com/watch?v=PmnD3kX64OM</t>
  </si>
  <si>
    <t>รายการที่ออกอากาศทางห้องเรียนแห่งคุณภาพ ห้องเรียน DLIT กลุ่มสาระฯ - วิทยาศาสตร์</t>
  </si>
  <si>
    <t>วิทยา
ศาสตร์</t>
  </si>
  <si>
    <t>ค 1.4</t>
  </si>
  <si>
    <t>ว 1.1</t>
  </si>
  <si>
    <t>โจทย์ปัญหาการบวก การลบ จำนวนนับ</t>
  </si>
  <si>
    <t>โจทย์ปัญหาการคูณ การหาร จำนวนนับ</t>
  </si>
  <si>
    <t>โจทย์ปัญหาการบวก การลบ การคูณ การหารระคน</t>
  </si>
  <si>
    <t>ว 1.2</t>
  </si>
  <si>
    <t>ลักษณะของสิ่งมีชีวิต</t>
  </si>
  <si>
    <t>ลักษณะของสิ่งไม่มีชีวิต</t>
  </si>
  <si>
    <t>ส่วนประกอบของพืช</t>
  </si>
  <si>
    <t>การแก้ปัญหาเกี่ยวกับแบบรูป</t>
  </si>
  <si>
    <t>การสร้างคำในภาษาไทย</t>
  </si>
  <si>
    <t>คำเป็น คำตาย</t>
  </si>
  <si>
    <t xml:space="preserve">การเขียนคำขวัญ </t>
  </si>
  <si>
    <t>การเขียนแผนภาพความคิด</t>
  </si>
  <si>
    <t>การเขียนเรียงความ</t>
  </si>
  <si>
    <t>การเขียนย่อความจากพระบรมราโชวาท</t>
  </si>
  <si>
    <t>การเขียนจดหมายส่วนตัว</t>
  </si>
  <si>
    <t>การเขียนเรื่องตามจินตนาการ</t>
  </si>
  <si>
    <t>การพูดแสดงความรู้
ความเข้าใจจากสื่อต่าง ๆ</t>
  </si>
  <si>
    <t>การโฆษณา</t>
  </si>
  <si>
    <t>การพูดรายงาน</t>
  </si>
  <si>
    <t>การระบุลักษณะของประโยค</t>
  </si>
  <si>
    <t>สำนวนไทย</t>
  </si>
  <si>
    <t>การแต่งกลอนสุภาพ</t>
  </si>
  <si>
    <t>ภาษาพูด ภาษาเขียน</t>
  </si>
  <si>
    <t>วรรณคดีและวรรณกรรม</t>
  </si>
  <si>
    <t>การเขียนเชิงสร้างสรรค์</t>
  </si>
  <si>
    <t>การเรียงคำตามลำดับพจนานุกรม</t>
  </si>
  <si>
    <t>การจัดกลุ่มของสิ่งไม่มีชีวิต</t>
  </si>
  <si>
    <t>การตอบสนองคืออะไร</t>
  </si>
  <si>
    <t>การจัดกลุ่มสิ่งที่คล้ายกัน</t>
  </si>
  <si>
    <t>หน้าที่ของรากพืช</t>
  </si>
  <si>
    <t>ลักษณะของรากพืช</t>
  </si>
  <si>
    <t>ศรีอัมพร ประทุมนันท์</t>
  </si>
  <si>
    <t>หน้าที่ของลำต้นพืช</t>
  </si>
  <si>
    <t>ลักษณะของลำต้นพืช</t>
  </si>
  <si>
    <t>อวัยวะภายนอก</t>
  </si>
  <si>
    <t>หน้าที่ของโครงสร้างภายนอกของสัตว์</t>
  </si>
  <si>
    <t>อวัยวะภายนอกและหน้าที่ของอวัยวะภายนอกของมนุษย์</t>
  </si>
  <si>
    <t>ปริศนา กลั่นเขตรกรรม</t>
  </si>
  <si>
    <t>การดูแลรักษาอวัยวะภายนอกของมนุษย์</t>
  </si>
  <si>
    <t>สำรวจสิ่งมีชีวิตในท้องถิ่น</t>
  </si>
  <si>
    <t>ครูมยุรี ศิริยานนท์</t>
  </si>
  <si>
    <t>จำแนกพืชในท้องถิ่น
ตามเกณฑ์ที่กำหนดให้</t>
  </si>
  <si>
    <t>จำแนกพืชในท้องถิ่นโดยนักเรียนกำหนดเกณฑ์เอง</t>
  </si>
  <si>
    <t>บังอร สุไลมาน</t>
  </si>
  <si>
    <t>จำแนกสัตว์ในท้องถิ่นตามเกณฑ์ที่กำหนดให้</t>
  </si>
  <si>
    <t>จำแนกสัตว์ในท้องถิ่นโดยนักเรียนกำหนดเกณฑ์เอง</t>
  </si>
  <si>
    <t>พิสมัย พันสาย</t>
  </si>
  <si>
    <t>ครูทองเพชร ฤทธิ์เวโรจน์</t>
  </si>
  <si>
    <t>ครูเกศสิริ แพะโต๊ะ</t>
  </si>
  <si>
    <t>จุฑารัตน์ แตงอ่อน</t>
  </si>
  <si>
    <t>รร.อนุบาลวัดป่าเลไลยก์</t>
  </si>
  <si>
    <t>กาญจนา  นาคหาญ</t>
  </si>
  <si>
    <t>ครูนาถฤดี สารสอน</t>
  </si>
  <si>
    <t>รร.อุบลวิทยาคม</t>
  </si>
  <si>
    <t>โรงเรียนอนุบาลตาก</t>
  </si>
  <si>
    <t>รร.สุเหร่าคลอง 18</t>
  </si>
  <si>
    <t>รร.บ้านสามเพียแสนจำปา</t>
  </si>
  <si>
    <t>โรงเรียนสุขานารี</t>
  </si>
  <si>
    <t>การบวก ลบ คูณ หาร เศษส่วนระคน</t>
  </si>
  <si>
    <t>โรงเรียนบ้านดงยาง</t>
  </si>
  <si>
    <t>โจทย์ปัญหาการบวก ลบ 
คูณ หาร เศษส่วนระคน ตอน 1</t>
  </si>
  <si>
    <t>โจทย์ปัญหาการบวก ลบ 
คูณ หาร เศษส่วนระคน ตอน 2</t>
  </si>
  <si>
    <t>รร.วัดสุขบุญฑริการาม</t>
  </si>
  <si>
    <t>เขียนทศนิยมไม่เกิน
สามตำแหน่งในรูปเศษส่วนและเขียนเศษส่วนที่มีตัวส่วน
เป็นตัวประกอบของ 
10, 100, 1,000 ในรูปทศนิยม</t>
  </si>
  <si>
    <t>การคูณทศนิยม</t>
  </si>
  <si>
    <t>รร.อนุบาลบ้านแพ้วฯ</t>
  </si>
  <si>
    <t>การหารทศนิยม
เมื่อตัวหารเป็นทศนิยม</t>
  </si>
  <si>
    <t>โจทย์การบวก ลบ คูณ หาร ทศนิยม ระคน</t>
  </si>
  <si>
    <t>โจทย์การบวก ลบ คูณ หาร ทศนิยม ตอน 1</t>
  </si>
  <si>
    <t>โจทย์การบวก ลบ คูณ หาร ทศนิยม ตอน 2</t>
  </si>
  <si>
    <t>สมบัติของเส้นขนาน</t>
  </si>
  <si>
    <t>การพิจารณาเส้นขนาน</t>
  </si>
  <si>
    <t>อุบลราชธานี</t>
  </si>
  <si>
    <t>จ.ตาก</t>
  </si>
  <si>
    <t>กาญจนา นมัสโก</t>
  </si>
  <si>
    <t xml:space="preserve">ธรวิทย์ จิตต์สุวรรณ </t>
  </si>
  <si>
    <t>อุบล สิงห์ทอง</t>
  </si>
  <si>
    <t>โชติกา ชนะชัย</t>
  </si>
  <si>
    <t>ครูสมนึก สุภลาภ</t>
  </si>
  <si>
    <t>ครูนิพนธ์ ทองยืน</t>
  </si>
  <si>
    <t xml:space="preserve">มธุรส หอทอง
</t>
  </si>
  <si>
    <t>โรงเรียนวัดในไร่</t>
  </si>
  <si>
    <t xml:space="preserve">อาจรีย์ ถนอมดำรงศักดิ์ </t>
  </si>
  <si>
    <t>วิลาวัณย์ วรนิทัศน์</t>
  </si>
  <si>
    <t>https://www.youtube.com/watch?v=ZNfMmPy66II</t>
  </si>
  <si>
    <t xml:space="preserve">โรงเรียนตำบลโคกกรวด        (ผดุงรัฐประชานุกูล) </t>
  </si>
  <si>
    <t>โรงเรียนอนุบาลวัดปิตุลาธิราชรังสฤษฎ์</t>
  </si>
  <si>
    <t>รร.อนุบาลขอนแก่น</t>
  </si>
  <si>
    <t>ปทุมธานี</t>
  </si>
  <si>
    <t>จ.ระยอง</t>
  </si>
  <si>
    <t>https://www.youtube.com/watch?v=LylzCmGzyBs</t>
  </si>
  <si>
    <t>https://www.youtube.com/watch?v=8tsdwKJnvZw</t>
  </si>
  <si>
    <t>https://www.youtube.com/watch?v=-5-StDaOQFY</t>
  </si>
  <si>
    <t>https://www.youtube.com/watch?v=qUfZMwtm-Gk</t>
  </si>
  <si>
    <t>https://www.youtube.com/watch?v=k2Py5kGSb2w</t>
  </si>
  <si>
    <t>https://www.youtube.com/watch?v=qKmJPbEyRnM</t>
  </si>
  <si>
    <t>https://www.youtube.com/watch?v=n018Yv_IE74</t>
  </si>
  <si>
    <t>https://www.youtube.com/watch?v=1Hs7WTgb7aw</t>
  </si>
  <si>
    <t>https://www.youtube.com/watch?v=lG6ouNQj6BE</t>
  </si>
  <si>
    <t>https://www.youtube.com/watch?v=_Bvm6GmyoUw</t>
  </si>
  <si>
    <t>https://www.youtube.com/watch?v=nZkz6zrpXIk</t>
  </si>
  <si>
    <t>https://www.youtube.com/watch?v=IggCUSFOvZM</t>
  </si>
  <si>
    <t>https://www.youtube.com/watch?v=fcvSBZCF8h8</t>
  </si>
  <si>
    <t>https://www.youtube.com/watch?v=IRHK30gB2jo</t>
  </si>
  <si>
    <t>https://www.youtube.com/watch?v=AU-NbSGgHgU</t>
  </si>
  <si>
    <t>https://www.youtube.com/watch?v=mCpskvKuhfo</t>
  </si>
  <si>
    <t>https://www.youtube.com/watch?v=hhIRQ_ot9D8</t>
  </si>
  <si>
    <t>https://www.youtube.com/watch?v=eK-7qdTyc_c</t>
  </si>
  <si>
    <t>https://www.youtube.com/watch?v=6Y6jlHpO5iM</t>
  </si>
  <si>
    <t>https://www.youtube.com/watch?v=pgVDj57vo0I</t>
  </si>
  <si>
    <t>m</t>
  </si>
  <si>
    <t>https://www.youtube.com/watch?v=c5ik1xts7js</t>
  </si>
  <si>
    <t>https://www.youtube.com/watch?v=CQmkYZluELY</t>
  </si>
  <si>
    <t>https://www.youtube.com/watch?v=IXcnq_BUicc</t>
  </si>
  <si>
    <t>https://www.youtube.com/watch?v=bwZExh14Msw</t>
  </si>
  <si>
    <t>https://www.youtube.com/watch?v=dt8c1Sf5hfs</t>
  </si>
  <si>
    <t>https://www.youtube.com/watch?v=DUNWVYCr20Y</t>
  </si>
  <si>
    <t>https://www.youtube.com/watch?v=j0SN_GXm4-c</t>
  </si>
  <si>
    <t>https://www.youtube.com/watch?v=3xa3Q34LcAw</t>
  </si>
  <si>
    <t>https://www.youtube.com/watch?v=qw-aiwzneMQ</t>
  </si>
  <si>
    <t>https://www.youtube.com/watch?v=dnShTO7iB4A</t>
  </si>
  <si>
    <t>https://www.youtube.com/watch?v=Fucd3ruFBwk</t>
  </si>
  <si>
    <t>https://www.youtube.com/watch?v=rtxnlRyvtbk</t>
  </si>
  <si>
    <t>https://www.youtube.com/watch?v=jemnyGdyolo</t>
  </si>
  <si>
    <t>https://www.youtube.com/watch?v=ZreTJwBd9bs</t>
  </si>
  <si>
    <t>https://www.youtube.com/watch?v=fRJJh3dbyVM</t>
  </si>
  <si>
    <t>https://www.youtube.com/watch?v=X5NQrNSngNo</t>
  </si>
  <si>
    <t>https://www.youtube.com/watch?v=e3LtdTKQ-n0</t>
  </si>
  <si>
    <t>https://www.youtube.com/watch?v=Gcvvi-mFKRU</t>
  </si>
  <si>
    <t>https://www.youtube.com/watch?v=mhSV0UszDnY</t>
  </si>
  <si>
    <t>https://www.youtube.com/watch?v=wDeGBAYWXUw</t>
  </si>
  <si>
    <t>https://www.youtube.com/watch?v=TTo419eyyhg</t>
  </si>
  <si>
    <t>https://www.youtube.com/watch?v=CwGT4ajWMcs</t>
  </si>
  <si>
    <t>https://www.youtube.com/watch?v=VPFeZuZ0q6Q</t>
  </si>
  <si>
    <t>https://www.youtube.com/watch?v=U60zgjEjC_U</t>
  </si>
  <si>
    <t>https://www.youtube.com/watch?v=esoeik_zvQQ</t>
  </si>
  <si>
    <t>https://www.youtube.com/watch?v=E2IxIppYDF8</t>
  </si>
  <si>
    <t>https://www.youtube.com/watch?v=ArcpGRk5Fr0</t>
  </si>
  <si>
    <t>https://www.youtube.com/watch?v=0Q_yfCU6L6c</t>
  </si>
  <si>
    <t>https://www.youtube.com/watch?v=dyd8-KrG_Lk</t>
  </si>
  <si>
    <t>https://www.youtube.com/watch?v=XBOT_QdwRPY</t>
  </si>
  <si>
    <t>https://www.youtube.com/watch?v=luJcjYwJb5Q</t>
  </si>
  <si>
    <t>https://www.youtube.com/watch?v=olmnQhfPLBQ</t>
  </si>
  <si>
    <t>https://www.youtube.com/watch?v=Dw3kouO61Ps</t>
  </si>
  <si>
    <t>https://www.youtube.com/watch?v=sDyoj91otho</t>
  </si>
  <si>
    <t>https://www.youtube.com/watch?v=laA3Rd8Jpw0</t>
  </si>
  <si>
    <t>https://www.youtube.com/watch?v=MJv0MWL0kVg</t>
  </si>
  <si>
    <t>https://www.youtube.com/watch?v=7CdGzw6BJ0M</t>
  </si>
  <si>
    <t>https://www.youtube.com/watch?v=6piz_QnYjDQ</t>
  </si>
  <si>
    <t>https://www.youtube.com/watch?v=IhKGRrez9bQ</t>
  </si>
  <si>
    <t>https://www.youtube.com/watch?v=gSmt0EZEC4E</t>
  </si>
  <si>
    <t>ว 4.1</t>
  </si>
  <si>
    <t>ว 6.1</t>
  </si>
  <si>
    <t>น้ำเป็นปัจจัยที่จำเป็นต่อการดำรงชีวิตของพืช ตอน 2</t>
  </si>
  <si>
    <t>แสงเป็นปัจจัยที่จำเป็นต่อการดำรงชีวิตของพืช ตอน 1</t>
  </si>
  <si>
    <t>แสงเป็นปัจจัยที่จำเป็นต่อการดำรงชีวิตของพืช ตอน 2</t>
  </si>
  <si>
    <t>แรงแม่เหล็ก สมบัติของแม่เหล็ก</t>
  </si>
  <si>
    <t>แรงระหว่างแม่เหล็ก</t>
  </si>
  <si>
    <t>การอ่านสรุปความ</t>
  </si>
  <si>
    <t>การตอบสนองต่อสิ่งเร้าของพืช ตอน 1</t>
  </si>
  <si>
    <t>การแยกข้อเท็จจริง ข้อคิดเห็นจากเรื่องที่อ่าน</t>
  </si>
  <si>
    <t>การตอบสนองต่อสิ่งเร้าของพืช ตอน 2</t>
  </si>
  <si>
    <t>อธิบายคำเปรียบเทียบ คำที่มีหลายความหมาย</t>
  </si>
  <si>
    <t>การตอบสนองต่อสิ่งเร้า
ของสัตว์ ตอน 1</t>
  </si>
  <si>
    <t>การอ่านตีความ</t>
  </si>
  <si>
    <t>การตอบสนองต่อสิ่งเร้า
ของสัตว์ ตอน 2</t>
  </si>
  <si>
    <t>การวิเคราะห์คุณค่าวรรณคดี วรรณกรรม ตอน 1</t>
  </si>
  <si>
    <t>ประโยชน์ของแม่เหล็ก ตอน 1</t>
  </si>
  <si>
    <t>การวิเคราะห์คุณค่าวรรณคดี วรรณกรรม ตอน 2</t>
  </si>
  <si>
    <t>ประโยชน์ของแม่เหล็ก ตอน 2</t>
  </si>
  <si>
    <t>การเขียนเรียงความ ตอน 1</t>
  </si>
  <si>
    <t>แรงไฟฟ้า ตอน 1</t>
  </si>
  <si>
    <t>การเขียนเรียงความ ตอน 2</t>
  </si>
  <si>
    <t>แรงไฟฟ้า ตอน 2</t>
  </si>
  <si>
    <t>การเขียนย่อความ</t>
  </si>
  <si>
    <t>การสำรวจและสังเกตสมบัติ
ทางกายภาพของดิน ตอน 1</t>
  </si>
  <si>
    <t>กาพย์เห่ชมเครื่องคาวหวาน</t>
  </si>
  <si>
    <t>การสำรวจและสังเกตสมบัติ
ทางกายภาพของดิน ตอน 2</t>
  </si>
  <si>
    <t>การเขียนแสดงความคิดเห็น</t>
  </si>
  <si>
    <t>การสำรวจและสังเกตสมบัติ
ทางกายภาพของดิน ตอน 3</t>
  </si>
  <si>
    <t>การวิเคราะห์วิจารณ์สื่อ
ที่มีเนื้อหาโน้มน้าวใจ</t>
  </si>
  <si>
    <t>การจำแนกประเภทของดิน</t>
  </si>
  <si>
    <t>กาพย์ยานี 11</t>
  </si>
  <si>
    <t>ประโยชน์ของดิน</t>
  </si>
  <si>
    <t>นิราศภูเขาทอง</t>
  </si>
  <si>
    <t>กาพย์พระไชยสุริยา</t>
  </si>
  <si>
    <t>รู้หลักการสร้างคำ คำประสม คำซ้อน คำพ้อง ตอน 1</t>
  </si>
  <si>
    <t>รู้หลักการสร้างคำ คำประสม คำซ้อน คำพ้อง ตอน 2</t>
  </si>
  <si>
    <t>รู้หลักการสร้างคำ คำประสม คำซ้อน คำพ้อง ตอน 3</t>
  </si>
  <si>
    <t xml:space="preserve">อัจฉรา โพธิ์สุวรรณ </t>
  </si>
  <si>
    <t>ยุพิน โพธิ์ทอง</t>
  </si>
  <si>
    <t>อัญธิฌา มีวรรณ์</t>
  </si>
  <si>
    <t>จีรนัย มีสุข</t>
  </si>
  <si>
    <t>ครูวิมลฉัตร มีหนองหว้า</t>
  </si>
  <si>
    <t>สราวุฒิ แก้วจรัญ</t>
  </si>
  <si>
    <t>ครูบุญสาว สุขสมบูรณ์</t>
  </si>
  <si>
    <t>ครูละอองดาว ชาวกงจักร์</t>
  </si>
  <si>
    <t>การคูณและการหารจำนวนเต็ม</t>
  </si>
  <si>
    <t>ลำดับขั้นการคิดคำนวณ
จำนวนเต็ม</t>
  </si>
  <si>
    <t>ความหมายของเลขยกกำลัง ตอนที่ 1</t>
  </si>
  <si>
    <t>ความหมายของเลขยกกำลัง ตอนที่ 2</t>
  </si>
  <si>
    <t>การคูณ เลขยกกำลัง</t>
  </si>
  <si>
    <t>รร.พญาไท</t>
  </si>
  <si>
    <t>การหาร เลขยกกำลัง</t>
  </si>
  <si>
    <t>การแก้โจทย์ปัญหาเกี่ยวกับ
เลขยกกำลัง</t>
  </si>
  <si>
    <t>รร.ไชยปราการ</t>
  </si>
  <si>
    <t>การแยกตัวประกอบของจำนวนนับ</t>
  </si>
  <si>
    <t>ตัวหารร่วมมาก และการนำไปใช้</t>
  </si>
  <si>
    <t>ตัวคูณร่วมน้อย และการนำไปใช้</t>
  </si>
  <si>
    <t>รร.หาดใหญ่วิทยาลัย</t>
  </si>
  <si>
    <t>การประยุกต์ของ 
ห.ร.ม. และ ค.ร.น.</t>
  </si>
  <si>
    <t>การแก้โจทย์ปัญหา 
ห.ร.ม. และ ค.ร.น. ระคน</t>
  </si>
  <si>
    <t>การสร้างรูปสามเหลี่ยม เมื่อกำหนด  ความยาวของด้านให้</t>
  </si>
  <si>
    <t>โรงเรียนปทุมพิทยาคม</t>
  </si>
  <si>
    <t>การสร้างมุมให้มีขนาดเท่ากับ   มุมที่กำหนดให้</t>
  </si>
  <si>
    <t>การสร้างรูปสามเหลี่ยม เมื่อกำหนด  ความยาวของด้านและมุมให้</t>
  </si>
  <si>
    <t>รร.บ้านท่าคาน</t>
  </si>
  <si>
    <t>โรงเรียนพระปฐมวิทยาลัย</t>
  </si>
  <si>
    <t>การสร้างมุมที่มีขนาดต่าง ๆ</t>
  </si>
  <si>
    <t>การนำความรู้เกี่ยวกับ
การสร้างเส้นตั้งฉากไปใช้</t>
  </si>
  <si>
    <t>รร.สวนกุหลาบวิทยาลัย นนทบุรี</t>
  </si>
  <si>
    <t xml:space="preserve">จิตราภา ศรีเตชานุพงศ์ </t>
  </si>
  <si>
    <t>เบญจวรรณ ปังเอี้ยน</t>
  </si>
  <si>
    <t>เชียงใหม่</t>
  </si>
  <si>
    <t>ครูจิตราภา ศรีเตชานุพงศ์</t>
  </si>
  <si>
    <t>สงขลา</t>
  </si>
  <si>
    <t>ครูปาวาริศา สมาฤกษ์</t>
  </si>
  <si>
    <t>จ.อุบลราชธานี</t>
  </si>
  <si>
    <t>ศิริพรรณ อุ้ยฟูใจ</t>
  </si>
  <si>
    <t>จ.นครปฐม</t>
  </si>
  <si>
    <t>จ.นนทบุรี</t>
  </si>
  <si>
    <t>https://www.youtube.com/watch?v=WIpPcb0aRpM</t>
  </si>
  <si>
    <t>รร.ราชินีบูรณะ</t>
  </si>
  <si>
    <t>https://www.youtube.com/watch?v=vINrXpjaNg8</t>
  </si>
  <si>
    <t xml:space="preserve">โรงเรียนราชินีบูรณะ </t>
  </si>
  <si>
    <t>โรงเรียนสารวิทยา</t>
  </si>
  <si>
    <t>https://www.youtube.com/watch?v=4VAqw1giTcI</t>
  </si>
  <si>
    <t>https://www.youtube.com/watch?v=R2WN_z4dvds</t>
  </si>
  <si>
    <t>https://www.youtube.com/watch?v=2ofeswZ3FcQ</t>
  </si>
  <si>
    <t>รร.ยุพราชวิทยาลัย</t>
  </si>
  <si>
    <t>https://www.youtube.com/watch?v=AHvClPktlvE</t>
  </si>
  <si>
    <t>https://www.youtube.com/watch?v=6Y8T-Q6H8ng</t>
  </si>
  <si>
    <t>นครปฐม</t>
  </si>
  <si>
    <t>https://www.youtube.com/watch?v=ecYSNwjMCGk</t>
  </si>
  <si>
    <t>https://www.youtube.com/watch?v=-IYIzZbGrpI</t>
  </si>
  <si>
    <t>https://www.youtube.com/watch?v=45gOnv3-eOk</t>
  </si>
  <si>
    <t>https://www.youtube.com/watch?v=CtPa1knVRUU</t>
  </si>
  <si>
    <t>https://www.youtube.com/watch?v=R-PDPTJfVDc</t>
  </si>
  <si>
    <t>https://www.youtube.com/watch?v=6nfBTXlMiM4</t>
  </si>
  <si>
    <t>https://www.youtube.com/watch?v=4fW3fstr2yM</t>
  </si>
  <si>
    <t>https://www.youtube.com/watch?v=8p9BPaDbKe8</t>
  </si>
  <si>
    <t>https://www.youtube.com/watch?v=VFW6FQnwBLk</t>
  </si>
  <si>
    <t>https://www.youtube.com/watch?v=jYDkNIK4wYM</t>
  </si>
  <si>
    <t>https://www.youtube.com/watch?v=QvEAUCG7G34</t>
  </si>
  <si>
    <t>https://www.youtube.com/watch?v=c4IyPUhqqYQ</t>
  </si>
  <si>
    <t>https://www.youtube.com/watch?v=rxUcoxaIT3A</t>
  </si>
  <si>
    <t>https://www.youtube.com/watch?v=277qADCqzzc</t>
  </si>
  <si>
    <t>https://www.youtube.com/watch?v=9xNs0byLL_Q</t>
  </si>
  <si>
    <t>https://www.youtube.com/watch?v=6JEhBgrHNYk</t>
  </si>
  <si>
    <t>https://www.youtube.com/watch?v=hrn3_JmfCK8</t>
  </si>
  <si>
    <t>https://www.youtube.com/watch?v=spxpZ9FH4cw</t>
  </si>
  <si>
    <t>https://www.youtube.com/watch?v=UKtx-BOzRZ8</t>
  </si>
  <si>
    <t>https://www.youtube.com/watch?v=mmMhJVEJV5w</t>
  </si>
  <si>
    <t>https://www.youtube.com/watch?v=3r3UgXU6t-0</t>
  </si>
  <si>
    <t>https://www.youtube.com/watch?v=bhdmfrY6UJo</t>
  </si>
  <si>
    <t>https://www.youtube.com/watch?v=OBGjeepBSxA</t>
  </si>
  <si>
    <t>https://www.youtube.com/watch?v=xktWfV3h9wQ</t>
  </si>
  <si>
    <t>https://www.youtube.com/watch?v=Pk8IWEArchI</t>
  </si>
  <si>
    <t>https://www.youtube.com/watch?v=xgBlontmB2g</t>
  </si>
  <si>
    <t>https://www.youtube.com/watch?v=JkQKttBQITk</t>
  </si>
  <si>
    <t>https://www.youtube.com/watch?v=bveC5oVPNC4</t>
  </si>
  <si>
    <t>https://www.youtube.com/watch?v=pODjjIvfdhY</t>
  </si>
  <si>
    <t>https://www.youtube.com/watch?v=upJByZoAlRg</t>
  </si>
  <si>
    <t>https://www.youtube.com/watch?v=r2weHcKAof8</t>
  </si>
  <si>
    <t>https://www.youtube.com/watch?v=yS3FGhxQvvQ</t>
  </si>
  <si>
    <t>https://www.youtube.com/watch?v=jd0uIdr7DQQ</t>
  </si>
  <si>
    <t>https://www.youtube.com/watch?v=fbU9DTpdP5s</t>
  </si>
  <si>
    <t>https://www.youtube.com/watch?v=b97o2-7B2AI</t>
  </si>
  <si>
    <t>https://www.youtube.com/watch?v=eqE8LwAYrhY</t>
  </si>
  <si>
    <t>https://www.youtube.com/watch?v=Ds3AkXo6P6Q</t>
  </si>
  <si>
    <t>https://www.youtube.com/watch?v=5Rxgyk_GP3s</t>
  </si>
  <si>
    <t>https://www.youtube.com/watch?v=JjENtlk5W4Y</t>
  </si>
  <si>
    <t>https://www.youtube.com/watch?v=doRT-DqxNDI</t>
  </si>
  <si>
    <t>https://www.youtube.com/watch?v=1z63xaiPCy0</t>
  </si>
  <si>
    <t>https://www.youtube.com/watch?v=U0HD8O9A0Tg</t>
  </si>
  <si>
    <t>https://www.youtube.com/watch?v=0YAp3ss4IJ8</t>
  </si>
  <si>
    <t>https://www.youtube.com/watch?v=LcKJC5nRscA</t>
  </si>
  <si>
    <t>https://www.youtube.com/watch?v=rjEar_7Tn0g</t>
  </si>
  <si>
    <t>https://www.youtube.com/watch?v=fbCMY_3KSTs</t>
  </si>
  <si>
    <t>https://www.youtube.com/watch?v=LRbOdu3Nm-w</t>
  </si>
  <si>
    <t>https://www.youtube.com/watch?v=dl773LA8GDE</t>
  </si>
  <si>
    <t>https://www.youtube.com/watch?v=6-JQCCNoTUc</t>
  </si>
  <si>
    <t>https://www.youtube.com/watch?v=17JIKE-xf2M</t>
  </si>
  <si>
    <t>https://www.youtube.com/watch?v=KvB_8cPGwSI</t>
  </si>
  <si>
    <t>https://www.youtube.com/watch?v=00eqY2k0agg</t>
  </si>
  <si>
    <t>การเลือกใช้เครื่องมือ
และหน่วยในการวัดความยาว</t>
  </si>
  <si>
    <t>การเปรียบเทียบหน่วยความยาว หน่วยพื้นที่ในระบบเดียวกันและต่างระบบ</t>
  </si>
  <si>
    <t>การคาดคะเน (ความยาว, พื้นที่, ปริมาตร, น้ำหนัก, เวลา) 
- การนำไปใช้ ตอน 1</t>
  </si>
  <si>
    <t>การคาดคะเน (ความยาว, พื้นที่, ปริมาตร, น้ำหนัก, เวลา) 
- การนำไปใช้ ตอน 2</t>
  </si>
  <si>
    <t>ความเท่ากันทุกประการ ตอน 1 1. รูป▲2 รูปที่มีความสัมพันธ์กันแบบ ด้าน-มุม-ด้าน, 
ฉาก-ด้าน-ด้าน</t>
  </si>
  <si>
    <t>ความเท่ากันทุกประการ ตอน 2 2. รูป▲2 รูปที่มีความสัมพันธ์กันแบบ มุม-ด้าน-มุม, 
มุม-มุม-ด้าน</t>
  </si>
  <si>
    <t>ความเท่ากันทุกประการ ตอน 3 3. รูป▲2 รูปที่มีความสัมพันธ์กันแบบ ด้าน-ด้าน-ด้าน 
และรูปสามเหลี่ยมหน้าจั่ว</t>
  </si>
  <si>
    <t>ความเท่ากันทุกประการ ตอน 4 4.การประยุกต์ความเท่ากัน
ทุกประการและนำไปใช้</t>
  </si>
  <si>
    <t>การเลื่อนขนาน</t>
  </si>
  <si>
    <t>การสะท้อน ตอน 1</t>
  </si>
  <si>
    <t>การสะท้อน ตอน 2</t>
  </si>
  <si>
    <t>การหมุน ตอน 1</t>
  </si>
  <si>
    <t>การหมุน ตอน 2</t>
  </si>
  <si>
    <t>การนำไปใช้ ตอน 1</t>
  </si>
  <si>
    <t>การนำไปใช้ ตอน 2</t>
  </si>
  <si>
    <t>เพ็ญศิริ ศรีสว่าง</t>
  </si>
  <si>
    <t>ทองพูล โสภารุณ</t>
  </si>
  <si>
    <t>ครูอภิณห์ภัศ มานิ่ม</t>
  </si>
  <si>
    <t>ลักษณ์ ทรงธรรม</t>
  </si>
  <si>
    <t>รร.บ้านวังหิน</t>
  </si>
  <si>
    <t>โรงเรียนยุพราชวิทยาลัย</t>
  </si>
  <si>
    <t>รร.สามเสนวิทยาลัย</t>
  </si>
  <si>
    <t>นนทบุรี</t>
  </si>
  <si>
    <t>จ.เชียงใหม่</t>
  </si>
  <si>
    <t>ว 2.1</t>
  </si>
  <si>
    <t>ว 2.2</t>
  </si>
  <si>
    <t>https://www.youtube.com/watch?v=zkCFLEoUm-I</t>
  </si>
  <si>
    <t>https://www.youtube.com/watch?v=lQNLgQnNQDk</t>
  </si>
  <si>
    <t>https://www.youtube.com/watch?v=ZEdC0p2tWbk</t>
  </si>
  <si>
    <t>https://www.youtube.com/watch?v=ExcWRuuKl6M</t>
  </si>
  <si>
    <t>https://www.youtube.com/watch?v=ycc7ShqNSM8</t>
  </si>
  <si>
    <t>https://www.youtube.com/watch?v=lgUi4lj-u8M</t>
  </si>
  <si>
    <t>https://www.youtube.com/watch?v=uv7FpNeGVeI</t>
  </si>
  <si>
    <t>https://www.youtube.com/watch?v=tZP2d7PPhqw</t>
  </si>
  <si>
    <t>https://www.youtube.com/watch?v=6QPuZkEZB38</t>
  </si>
  <si>
    <t>https://www.youtube.com/watch?v=0rYNtPgStmk</t>
  </si>
  <si>
    <t>https://www.youtube.com/watch?v=4dlsAiulFls</t>
  </si>
  <si>
    <t>https://www.youtube.com/watch?v=zIOQrHcxMfQ</t>
  </si>
  <si>
    <t>https://www.youtube.com/watch?v=ZZnd78fJ8WI</t>
  </si>
  <si>
    <t>สมบัติของวัสดุ</t>
  </si>
  <si>
    <t>หนูน้อยนักประดิษฐ์ ตอน 1 "รถพลังลูกโป่ง"</t>
  </si>
  <si>
    <t>https://www.youtube.com/watch?v=YY0KBpdn7ag</t>
  </si>
  <si>
    <t>หนูน้อยนักประดิษฐ์ ตอน 2
"ประดิษฐ์ของเล่นตามจินตนาการจากเศษวัสดุ"</t>
  </si>
  <si>
    <t>ทรัพยากรธรรมชาติในท้องถิ่น</t>
  </si>
  <si>
    <t>ทรัพยากรธรรมชาติและ การใช้ประโยชน์</t>
  </si>
  <si>
    <t>การอ่านสารโน้มน้าวใจ
อย่างมีวิจารณญาณ</t>
  </si>
  <si>
    <t>ผลกระทบด้านสิ่งแวดล้อม จากการใช้ทรัพยากรธรรมชาติ</t>
  </si>
  <si>
    <t xml:space="preserve">การใช้ทรัพยากรอย่างประหยัดและคุ้มค่า
</t>
  </si>
  <si>
    <t>https://www.youtube.com/watch?v=GMc1wwGqmIg</t>
  </si>
  <si>
    <t>โครงงานกับการแก้ปัญหา สิ่งแวดล้อม</t>
  </si>
  <si>
    <t>การเคลื่อนที่ของวัตถุ</t>
  </si>
  <si>
    <t>ผลของการออกแรงที่กระทำ        ต่อวัตถุ</t>
  </si>
  <si>
    <t>วัตถุกับแรงกระทำ</t>
  </si>
  <si>
    <t>วัตถุตกลงสู่พื้น</t>
  </si>
  <si>
    <t>แรงโน้มถ่วงของโลก</t>
  </si>
  <si>
    <t>น้ำหนักของวัตถุ</t>
  </si>
  <si>
    <t xml:space="preserve">สมบัติของน้ำ </t>
  </si>
  <si>
    <t>https://www.youtube.com/watch?v=mpqNYn5-kVk</t>
  </si>
  <si>
    <t>การนำเสนอโครงงานและวิธี         การสอนโครงงาน
เกี่ยวกับเรื่องน้ำ</t>
  </si>
  <si>
    <t>ส่วนประกอบของอากาศ</t>
  </si>
  <si>
    <t>ความสำคัญของอากาศและ    สมบัติของอากาศ ตอนที่ 1</t>
  </si>
  <si>
    <t>ความสำคัญของอากาศและ    สมบัติของอากาศ ตอนที่ 2</t>
  </si>
  <si>
    <t>https://www.youtube.com/watch?v=Q1medivS14I</t>
  </si>
  <si>
    <t>https://www.youtube.com/watch?v=cfIClkeYxlc</t>
  </si>
  <si>
    <t>การเขียนแสดงความคิดเห็นจากข่าวและเหตุการณ์สำคัญ</t>
  </si>
  <si>
    <t>https://www.youtube.com/watch?v=H2dFHu7pvUs</t>
  </si>
  <si>
    <t>การเขียนเรียงความ ตอนที่ 1</t>
  </si>
  <si>
    <t>สมชาย ปลัดสังข์</t>
  </si>
  <si>
    <t>การเขียนเรียงความ ตอนที่ 2</t>
  </si>
  <si>
    <t>การสร้างคำ คำประสม 
คำซ้ำ คำซ้อน ตอน 1</t>
  </si>
  <si>
    <t>การสร้างคำ คำประสม 
คำซ้ำ คำซ้อน ตอน 2</t>
  </si>
  <si>
    <t>https://www.youtube.com/watch?v=3y57siNCh9o</t>
  </si>
  <si>
    <t>ดวงเดือน ริมสมุทร</t>
  </si>
  <si>
    <t>คำสมาสและคำสมาสแบบสนธิ ตอน 1</t>
  </si>
  <si>
    <t>คำสมาสและคำสมาสแบบสนธิ ตอน 2</t>
  </si>
  <si>
    <t>คำบาลี คำสันสกฤต</t>
  </si>
  <si>
    <t>การแต่งบทร้อยกรอง
(กลอนสุภาพ)</t>
  </si>
  <si>
    <t>นพพร มีช้าง</t>
  </si>
  <si>
    <t>การพูดวิเคราะห์วิจารณ์</t>
  </si>
  <si>
    <t>จุดประกายการเขียน ตอนที่ 1</t>
  </si>
  <si>
    <t>จุดประกายการเขียน ตอนที่ 2</t>
  </si>
  <si>
    <t>จุดประกายการเขียน ตอนที่ 3</t>
  </si>
  <si>
    <t>การฝึกทักษะการฟัง ตอนที่ 1</t>
  </si>
  <si>
    <t>วาสินี ศิริบูรณ์</t>
  </si>
  <si>
    <t>นงนุช เกษชม</t>
  </si>
  <si>
    <t>รร.วัดท่าเรือ</t>
  </si>
  <si>
    <t>รร.วัดจันทร์ตะวันออก</t>
  </si>
  <si>
    <t>การฝึกทักษะการฟัง ตอนที่ 2</t>
  </si>
  <si>
    <t>รร.อนุบาลศรีสะเกษ</t>
  </si>
  <si>
    <t>รร.วัดบ้านฉาง</t>
  </si>
  <si>
    <t>ระยอง</t>
  </si>
  <si>
    <t>พิษณุโลก</t>
  </si>
  <si>
    <t>ศรีสะเกษ</t>
  </si>
  <si>
    <t>สำนวนสุภาษิตเกี่ยวกับการพูด ตอนที่ 1</t>
  </si>
  <si>
    <t>สำนวนสุภาษิตเกี่ยวกับการพูด ตอนที่ 2</t>
  </si>
  <si>
    <t>มยุรี วงศ์ทองคำ</t>
  </si>
  <si>
    <t>https://www.youtube.com/watch?v=se0n3C5lqeY</t>
  </si>
  <si>
    <t>นิภา จินตนนท์</t>
  </si>
  <si>
    <t>สมศรี เขียวชะอุ่ม</t>
  </si>
  <si>
    <t>https://www.youtube.com/watch?v=PXS04NFnrZA</t>
  </si>
  <si>
    <t>สุพิศ กลิ่นบุปผา</t>
  </si>
  <si>
    <t>https://www.youtube.com/watch?v=kTxcCsLgFtI</t>
  </si>
  <si>
    <t>ครูแสงสุรี วาดวิจิตร</t>
  </si>
  <si>
    <t>https://www.youtube.com/watch?v=wDiiIAqhJUY</t>
  </si>
  <si>
    <t>https://www.youtube.com/watch?v=XhpgiGB9pq0</t>
  </si>
  <si>
    <t>https://www.youtube.com/watch?v=wHqk5glyogI</t>
  </si>
  <si>
    <t>รร.เมืองเชลียง</t>
  </si>
  <si>
    <t>https://www.youtube.com/watch?v=Pgto9STcZD8</t>
  </si>
  <si>
    <t>โรงเรียนจอมสุรางค์อุปถัมภ์</t>
  </si>
  <si>
    <t xml:space="preserve">โรงเรียนจอมสุรางค์อุปถัมภ์ </t>
  </si>
  <si>
    <t>https://www.youtube.com/watch?v=drxXTXde_Tk</t>
  </si>
  <si>
    <t>https://www.youtube.com/watch?v=RT7o8AfWlC0</t>
  </si>
  <si>
    <t>สุโขทัย</t>
  </si>
  <si>
    <t>จ.พระนครศรีอยุธยา</t>
  </si>
  <si>
    <t>https://www.youtube.com/watch?v=oe6TgS5r_rU</t>
  </si>
  <si>
    <t>https://www.youtube.com/watch?v=G4sd4xgZVF4</t>
  </si>
  <si>
    <t>https://www.youtube.com/watch?v=z7UsBsgB488</t>
  </si>
  <si>
    <t>https://www.youtube.com/watch?v=xWTeUmUpKXE</t>
  </si>
  <si>
    <t>https://www.youtube.com/watch?v=xcDKh-z4ofc</t>
  </si>
  <si>
    <t>https://www.youtube.com/watch?v=FDG8iy0r0ak</t>
  </si>
  <si>
    <t>https://www.youtube.com/watch?v=OOaFTjaNlW8</t>
  </si>
  <si>
    <t>https://www.youtube.com/watch?v=Pyvr0rzMdWQ</t>
  </si>
  <si>
    <t>https://www.youtube.com/watch?v=-eI4UCo7jsU</t>
  </si>
  <si>
    <t>https://www.youtube.com/watch?v=PhievG_lGrs</t>
  </si>
  <si>
    <t>https://www.youtube.com/watch?v=96iyFtNhecI</t>
  </si>
  <si>
    <t>https://www.youtube.com/watch?v=YBKY2I6xmZ0</t>
  </si>
  <si>
    <t>https://www.youtube.com/watch?v=5vL39BlJOX8</t>
  </si>
  <si>
    <t>https://www.youtube.com/watch?v=rxZy4YDvucs</t>
  </si>
  <si>
    <t>https://www.youtube.com/watch?v=H47MnLmzqdM</t>
  </si>
  <si>
    <t>https://www.youtube.com/watch?v=9zRW6imu6kg</t>
  </si>
  <si>
    <t>https://www.youtube.com/watch?v=M7MbBnrBfjc</t>
  </si>
  <si>
    <t>https://www.youtube.com/watch?v=lAGJ2BQhsKk</t>
  </si>
  <si>
    <t>https://www.youtube.com/watch?v=fJWqKDjb680</t>
  </si>
  <si>
    <t>https://www.youtube.com/watch?v=Cwd4c5b3H0A</t>
  </si>
  <si>
    <t>https://www.youtube.com/watch?v=4N7bb_W4ZvA</t>
  </si>
  <si>
    <t>https://www.youtube.com/watch?v=yh_u214ekJg</t>
  </si>
  <si>
    <t>ค 2.1, ค 2.2</t>
  </si>
  <si>
    <t>ค 4.2</t>
  </si>
  <si>
    <t>https://www.youtube.com/watch?v=1gnTLH095Dw</t>
  </si>
  <si>
    <t>https://www.youtube.com/watch?v=tMorchMo85A</t>
  </si>
  <si>
    <t>https://www.youtube.com/watch?v=3IpBKW04bEQ</t>
  </si>
  <si>
    <t>https://www.youtube.com/watch?v=piXKhB33H-c</t>
  </si>
  <si>
    <t>https://www.youtube.com/watch?v=OFstqJD85VA</t>
  </si>
  <si>
    <t>https://www.youtube.com/watch?v=C35uEa8K-vo</t>
  </si>
  <si>
    <t>https://www.youtube.com/watch?v=wrUuyerfShc</t>
  </si>
  <si>
    <t>พื้นที่ผิวของทรงกระบอก</t>
  </si>
  <si>
    <t>ปริมาตรของทรงกระบอก</t>
  </si>
  <si>
    <t>สมการของพาราโบลา</t>
  </si>
  <si>
    <t>พาราโบลาที่กำหนดด้วยสมการ y = ax2 เมื่อ a ≠ 0 กรณี a &gt; 0</t>
  </si>
  <si>
    <t>พาราโบลาที่กำหนดด้วยสมการ y = ax2 เมื่อ a ≠ 0 กรณี a &lt; 0</t>
  </si>
  <si>
    <t>พาราโบลาที่กำหนดด้วยสมการ y = ax2 + k เมื่อ a ≠ 0               กรณี a &gt; 0</t>
  </si>
  <si>
    <t>พาราโบลาที่กำหนดด้วยสมการ y = ax2 + k เมื่อ a ≠ 0          กรณี a &lt; 0</t>
  </si>
  <si>
    <t>กราฟของสมการ
เชิงเส้นสองตัวแปร ตอนที่ 1</t>
  </si>
  <si>
    <t>กราฟของสมการ
เชิงเส้นสองตัวแปร ตอนที่ 2</t>
  </si>
  <si>
    <t>กราฟและการนำไปใช้</t>
  </si>
  <si>
    <t>พาราโบลาที่กำหนดด้วยสมการ y = a(x - h)2 + k เมื่อ a ≠ 0 กรณี h ≠ 0 และ k = 0</t>
  </si>
  <si>
    <t>พาราโบลาที่กำหนดด้วยสมการ y = a(x - h)2 + k เมื่อ a ≠ 0 กรณี h ≠ 0 และ k ≠ 0</t>
  </si>
  <si>
    <t>พาราโบลาที่กำหนดด้วยสมการ y = ax2 + bx + c เมื่อ a ≠ 0 ตอนที่ 1</t>
  </si>
  <si>
    <t>พาราโบลาที่กำหนดด้วยสมการ y = ax2 + bx + c เมื่อ a ≠ 0 ตอนที่ 2</t>
  </si>
  <si>
    <t>พาราโบลาที่กำหนดด้วยสมการ y = ax2 + bx + c เมื่อ a ≠ 0 ตอนที่ 3</t>
  </si>
  <si>
    <t>รูปเรขาคณิตที่คล้ายกัน</t>
  </si>
  <si>
    <t>รูปสามเหลี่ยมที่คล้ายกัน</t>
  </si>
  <si>
    <t>รูปเรขาคณิตที่คล้ายกัน - การนำไปใช้</t>
  </si>
  <si>
    <t>วิฑูรย์ เขียวชะอุ่ม</t>
  </si>
  <si>
    <t>พีระพงศ์ สิรสุนทร</t>
  </si>
  <si>
    <t xml:space="preserve">โกเมน อรัญเวศ </t>
  </si>
  <si>
    <t>สุกิจ สมงาม</t>
  </si>
  <si>
    <t>เกศรารัตน์ ไม้ทองงาม</t>
  </si>
  <si>
    <t>รร.เบ็ญจะมะมหาราช</t>
  </si>
  <si>
    <t>โรงเรียนสุราษฎร์ธานี</t>
  </si>
  <si>
    <t>สุราษฎร์ธานี</t>
  </si>
  <si>
    <t>https://www.youtube.com/watch?v=9aBCA-0_vPQ</t>
  </si>
  <si>
    <t>https://www.youtube.com/watch?v=pLmO3POs_KQ</t>
  </si>
  <si>
    <t>https://www.youtube.com/watch?v=sSw2AXUtUSM</t>
  </si>
  <si>
    <t>https://www.youtube.com/watch?v=v-EJC5wyk2s</t>
  </si>
  <si>
    <t>https://www.youtube.com/watch?v=JQXCEf-sLtk</t>
  </si>
  <si>
    <t>https://www.youtube.com/watch?v=iYJCCR8dtuM</t>
  </si>
  <si>
    <t>https://www.youtube.com/watch?v=wzaish53xLE</t>
  </si>
  <si>
    <t>https://www.youtube.com/watch?v=nWU52zoNFZM</t>
  </si>
  <si>
    <t>https://www.youtube.com/watch?v=UW6Trlth92g</t>
  </si>
  <si>
    <t>https://www.youtube.com/watch?v=XuEMctTS65g</t>
  </si>
  <si>
    <t>https://www.youtube.com/watch?v=TJ3M42MCcYc</t>
  </si>
  <si>
    <t>https://www.youtube.com/watch?v=7aQNfalhXZI</t>
  </si>
  <si>
    <t>https://www.youtube.com/watch?v=LdzbyqSpOy4</t>
  </si>
  <si>
    <t>https://www.youtube.com/watch?v=6jr_g8oVuG8</t>
  </si>
  <si>
    <t>https://www.youtube.com/watch?v=NMIv3GM6Nkg</t>
  </si>
  <si>
    <t>https://www.youtube.com/watch?v=nK6uEO-tghY</t>
  </si>
  <si>
    <t>https://www.youtube.com/watch?v=xqpKNoG_HKc</t>
  </si>
  <si>
    <t>พืชสร้างอาหารได้หรือไม่</t>
  </si>
  <si>
    <t>แสงเป็นปัจจัยสำคัญ
ในการสังเคราะห์ด้วยแสง
ของพืช</t>
  </si>
  <si>
    <t>คลอโรฟิลล์เป็นปัจจัยสำคัญ
ในการสังเคราะห์ด้วยแสง
ของพืช</t>
  </si>
  <si>
    <t>กระบวนการสร้างอาหารของพืช</t>
  </si>
  <si>
    <t>ปัจจัยสำคัญต่อการเจริญเติบโตของพืช</t>
  </si>
  <si>
    <t>พืชต้องการน้ำ</t>
  </si>
  <si>
    <t>https://www.youtube.com/watch?v=0AUG55eY6Zo</t>
  </si>
  <si>
    <t>พืชต้องการแสงแดด</t>
  </si>
  <si>
    <t>พืชต้องการอากาศ     และธาตุอาหาร</t>
  </si>
  <si>
    <t>https://www.youtube.com/watch?v=BsUY40uJhDI</t>
  </si>
  <si>
    <t>https://www.youtube.com/watch?v=GUDfe4MDkEk</t>
  </si>
  <si>
    <t>การเกิดดิน</t>
  </si>
  <si>
    <t>ชนิดและสมบัติของดิน</t>
  </si>
  <si>
    <t>ส่วนประกอบของดิน</t>
  </si>
  <si>
    <t>การปลูกพืชในดินแต่ละชนิด</t>
  </si>
  <si>
    <t>เฉลิมชัย วัดเข้าหลาม</t>
  </si>
  <si>
    <t>วัชรี สมวัน</t>
  </si>
  <si>
    <t>วิศวกร ชัยเชิดชู</t>
  </si>
  <si>
    <t>วิชชุลาภา แดงสีดา</t>
  </si>
  <si>
    <t>ภัทรวดี ราชนิยม</t>
  </si>
  <si>
    <t>รร.อนุบาลเชียงคาน</t>
  </si>
  <si>
    <t>รร.อนุบาลระยอง</t>
  </si>
  <si>
    <t>รร.วัดไผ่ค่อม(แพรประชาอุปถัมภ์)</t>
  </si>
  <si>
    <t>รร.วัดดอนทองฯ</t>
  </si>
  <si>
    <t>เลย</t>
  </si>
  <si>
    <t>https://www.youtube.com/watch?v=2QazaRdb4XY</t>
  </si>
  <si>
    <t>https://www.youtube.com/watch?v=IJrya39bvBU</t>
  </si>
  <si>
    <t>https://www.youtube.com/watch?v=ibLjh9flH7M</t>
  </si>
  <si>
    <t>การอ่านจับใจความ
จากสื่อต่าง ๆ ตอน 1</t>
  </si>
  <si>
    <t>https://www.youtube.com/watch?v=F_pU7mXlfCM</t>
  </si>
  <si>
    <t>การอ่านจับใจความ
จากสื่อต่าง ๆ ตอน 2</t>
  </si>
  <si>
    <t>การเขียนย่อความ
จากสื่อต่าง ๆ ตอน 1</t>
  </si>
  <si>
    <t>การเขียนย่อความ
จากสื่อต่าง ๆ ตอน 2</t>
  </si>
  <si>
    <t>https://www.youtube.com/watch?v=nFeCMcWikBQ</t>
  </si>
  <si>
    <t>https://www.youtube.com/watch?v=tmJDWRMZia0</t>
  </si>
  <si>
    <t>https://www.youtube.com/watch?v=PDvzyHq9ke8</t>
  </si>
  <si>
    <t>https://www.youtube.com/watch?v=BWI3k3_boxg</t>
  </si>
  <si>
    <t>https://www.youtube.com/watch?v=pu4ZLnSxad8</t>
  </si>
  <si>
    <t>https://www.youtube.com/watch?v=m5NAGjzlBvI</t>
  </si>
  <si>
    <t>https://www.youtube.com/watch?v=vT4Mso-jl8g</t>
  </si>
  <si>
    <t>การพูดวิเคราะห์วิจารณ์
ตอน 1</t>
  </si>
  <si>
    <t>การพูดวิเคราะห์วิจารณ์
ตอน 2</t>
  </si>
  <si>
    <t>โวหารภาพพจน์ ตอนที่ 1</t>
  </si>
  <si>
    <t>โวหารภาพพจน์ ตอนที่ 2</t>
  </si>
  <si>
    <t>ภาษาต่างประเทศในภาษาไทย</t>
  </si>
  <si>
    <t>https://www.youtube.com/watch?v=R_DRKeL2rJw</t>
  </si>
  <si>
    <t>คำบาลี - สันกฤต</t>
  </si>
  <si>
    <t>มหัศจรรย์แห่งมะละกอ</t>
  </si>
  <si>
    <t>https://www.youtube.com/watch?v=D48ZTWw2ox4</t>
  </si>
  <si>
    <t>การวิเคราะห์วิจารณ์การฟังและดู</t>
  </si>
  <si>
    <t>คำทับศัพท์, คำบัญญัติ ตอน 1</t>
  </si>
  <si>
    <t>คำทับศัพท์, คำบัญญัติ ตอน 2</t>
  </si>
  <si>
    <t>วิเคราะห์วิถีไทยและคุณค่า
จากเรื่องพระอภัยมณี ตอน 1</t>
  </si>
  <si>
    <t>วิเคราะห์วิถีไทยและคุณค่า
จากเรื่องพระอภัยมณี ตอน 2</t>
  </si>
  <si>
    <t>https://www.youtube.com/watch?v=u9TWzxb3_B0</t>
  </si>
  <si>
    <t>การโต้วาที ตอนที่ 1</t>
  </si>
  <si>
    <t>การโต้วาที ตอนที่ 2</t>
  </si>
  <si>
    <t>https://www.youtube.com/watch?v=zDx4b6joVdw</t>
  </si>
  <si>
    <t>วุฒิชัย ครองสิทธิ์</t>
  </si>
  <si>
    <t>ชมชนก ทรงมิตร</t>
  </si>
  <si>
    <t>https://www.youtube.com/watch?v=VJY5S0O_jxc</t>
  </si>
  <si>
    <t>ระพีร์ ปิยจันทร์</t>
  </si>
  <si>
    <t>วันเพ็ญ ชาวสวนเจริญ</t>
  </si>
  <si>
    <t>พจนา สถาพร</t>
  </si>
  <si>
    <t>อุรุพงษ์ บุญญาผลา</t>
  </si>
  <si>
    <t>https://www.youtube.com/watch?v=HZ10peCli3c</t>
  </si>
  <si>
    <t>https://www.youtube.com/watch?v=RwnmqzwRD_M</t>
  </si>
  <si>
    <t>รร.อ่างทองปัทมโรจน์วิทยาคม</t>
  </si>
  <si>
    <t>https://www.youtube.com/watch?v=btZJP9oIBgs</t>
  </si>
  <si>
    <t>รร.ราชวินิต มัธยม</t>
  </si>
  <si>
    <t>รร.สตรีอ่างทอง</t>
  </si>
  <si>
    <t>https://www.youtube.com/watch?v=4xmwz_fEUpM</t>
  </si>
  <si>
    <t>รร.พระปฐมวิทยาลัย</t>
  </si>
  <si>
    <t>โรงเรียนศรีอยุธยาฯ</t>
  </si>
  <si>
    <t>อ่างทอง</t>
  </si>
  <si>
    <t>กทม.</t>
  </si>
  <si>
    <t>ม.4-ม.6
เล่ม 1</t>
  </si>
  <si>
    <t>https://www.youtube.com/watch?v=lXuqSIfuTEo</t>
  </si>
  <si>
    <t>https://www.youtube.com/watch?v=ZhddnVWHFh0</t>
  </si>
  <si>
    <t>https://www.youtube.com/watch?v=8GTGeXJ4Rkg</t>
  </si>
  <si>
    <t>https://www.youtube.com/watch?v=AS8ZcW8fHgg</t>
  </si>
  <si>
    <t>https://www.youtube.com/watch?v=q8ECzwSrEE0</t>
  </si>
  <si>
    <t>ค 4.1, 4.2</t>
  </si>
  <si>
    <t>ค 1.1, 1.2, 1.4</t>
  </si>
  <si>
    <t>https://www.youtube.com/watch?v=OKzBFF2N7II</t>
  </si>
  <si>
    <t>ค 4.1, ค 4.2</t>
  </si>
  <si>
    <t>https://www.youtube.com/watch?v=Crd3eOGf_wQ</t>
  </si>
  <si>
    <t>https://www.youtube.com/watch?v=m8A1YcbbQIg</t>
  </si>
  <si>
    <t>https://www.youtube.com/watch?v=AMWmZ8TCW_Q</t>
  </si>
  <si>
    <t>https://www.youtube.com/watch?v=zNl0vJhQC-0</t>
  </si>
  <si>
    <t>https://www.youtube.com/watch?v=TN-HreunYGY</t>
  </si>
  <si>
    <t>https://www.youtube.com/watch?v=5-SkEiJRcEQ</t>
  </si>
  <si>
    <t>https://www.youtube.com/watch?v=mhFSr4kfCN0</t>
  </si>
  <si>
    <t>https://www.youtube.com/watch?v=S4KQ7IsxU1I</t>
  </si>
  <si>
    <t>https://www.youtube.com/watch?v=yoBoZ1wYXMc</t>
  </si>
  <si>
    <t>https://www.youtube.com/watch?v=Z9QlEHjqe9c</t>
  </si>
  <si>
    <t>https://www.youtube.com/watch?v=P3oZkPbxvX0</t>
  </si>
  <si>
    <t>https://www.youtube.com/watch?v=gIB8Ezb27Wo</t>
  </si>
  <si>
    <t>https://www.youtube.com/watch?v=t47xRURl3qg</t>
  </si>
  <si>
    <t>https://www.youtube.com/watch?v=MlPrVOd_BRE</t>
  </si>
  <si>
    <t>การนับจำนวนสมาชิกของเซต ตอน 1</t>
  </si>
  <si>
    <t>การนับจำนวนสมาชิกของเซต ตอน 2 - โจทย์ปัญหา</t>
  </si>
  <si>
    <t>ความสัมพันธ์(Relation)โดเมนและเรนจ์ของความสัมพันธ์</t>
  </si>
  <si>
    <t>การเขียนกราฟ                   ของความสัมพันธ์</t>
  </si>
  <si>
    <t>สมบัติของจำนวนจริงเกี่ยวกับการบวกและการคูณ</t>
  </si>
  <si>
    <t>จำนวนจริง และการแก้สมการกำลังสองตัวแปรเดียว ตอนที่ 1</t>
  </si>
  <si>
    <t>จำนวนจริง และการแก้สมการกำลังสองตัวแปรเดียว ตอนที่ 2</t>
  </si>
  <si>
    <t>จำนวนจริง และการแก้สมการกำลังสองตัวแปรเดียว ตอนที่ 3</t>
  </si>
  <si>
    <t>การแก้อสมการตัวแปรเดียวดีกรีไม่เกินสอง</t>
  </si>
  <si>
    <t>โจทย์ปัญหาอสมการ
ตัวแปรเดียวดีกรีไม่เกินสอง</t>
  </si>
  <si>
    <t>ค่าสัมบูรณ์ของจำนวนจริง
และการนำไปใช้</t>
  </si>
  <si>
    <t>ฟังก์ชันและกราฟของฟังก์ชัน</t>
  </si>
  <si>
    <t>โดเมนและเรนจ์ของฟังก์ชัน</t>
  </si>
  <si>
    <t xml:space="preserve">ฟังก์ชันเชิงเส้น
</t>
  </si>
  <si>
    <t>ฟังก์ชันกำลังสอง</t>
  </si>
  <si>
    <t>การใช้กราฟของฟังก์ชัน
ในการแก้สมการ</t>
  </si>
  <si>
    <t>การใช้กราฟของฟังก์ชัน
ในการแก้อสมการ</t>
  </si>
  <si>
    <t>การแก้โจทย์ปัญหา
เอกซ์โพเนนเชียล</t>
  </si>
  <si>
    <t>ฟังก์ชันค่าสมบูรณ์</t>
  </si>
  <si>
    <t>ธเนษฐ ชวาลสันตติ</t>
  </si>
  <si>
    <t>ครูสถาพร ศักดิ์ชัยพานิชกุล</t>
  </si>
  <si>
    <t>นิพนธ์ สติภา</t>
  </si>
  <si>
    <t>ครูณิชนันทน์ เอมโอช</t>
  </si>
  <si>
    <t>สนั่น เขื่อนแก้ว</t>
  </si>
  <si>
    <t>ครูนงลักษณ์ อ่ำสุพรรณ</t>
  </si>
  <si>
    <t>รร.หอวัง</t>
  </si>
  <si>
    <t>โรงเรียนปรางค์กู่</t>
  </si>
  <si>
    <t>รร.สิริรัตนาธร</t>
  </si>
  <si>
    <t>โรงเรียนราชวินิต มัธยม</t>
  </si>
  <si>
    <t>รร.สงวนหญิง</t>
  </si>
  <si>
    <t>โรงเรียนตลุกดู่วิทยาคม</t>
  </si>
  <si>
    <t>จ.ศรีสะเกษ</t>
  </si>
  <si>
    <t>จ.อุทัยธานี</t>
  </si>
  <si>
    <t>https://www.youtube.com/watch?v=B9oNjZpohpk</t>
  </si>
  <si>
    <t>https://www.youtube.com/watch?v=RTUBNShU8mU</t>
  </si>
  <si>
    <t>https://www.youtube.com/watch?v=-IqL6nABj48</t>
  </si>
  <si>
    <t>https://www.youtube.com/watch?v=99hNgbhPhGo</t>
  </si>
  <si>
    <t>https://www.youtube.com/watch?v=1LAYqnpBVtU</t>
  </si>
  <si>
    <t>https://www.youtube.com/watch?v=rXBsV0u9ljU</t>
  </si>
  <si>
    <t>https://www.youtube.com/watch?v=RVinLa2-xIw</t>
  </si>
  <si>
    <t>https://www.youtube.com/watch?v=mGMwMPvmJwA</t>
  </si>
  <si>
    <t>https://www.youtube.com/watch?v=HZKKti8oM94</t>
  </si>
  <si>
    <t>https://www.youtube.com/watch?v=jN_aiCE834Q</t>
  </si>
  <si>
    <t>https://www.youtube.com/watch?v=EBi4Rpm-6SQ</t>
  </si>
  <si>
    <t>https://www.youtube.com/watch?v=24AWsCIFRfo</t>
  </si>
  <si>
    <t>https://www.youtube.com/watch?v=d3UnY--vdTg</t>
  </si>
  <si>
    <t>https://www.youtube.com/watch?v=pdb9o7PMKnE</t>
  </si>
  <si>
    <t>https://www.youtube.com/watch?v=lMoAbpJlQn0</t>
  </si>
  <si>
    <t>https://www.youtube.com/watch?v=bi-kXKmliEI</t>
  </si>
  <si>
    <t>https://www.youtube.com/watch?v=9HFU-X74Ru4</t>
  </si>
  <si>
    <t>https://www.youtube.com/watch?v=8oo8Wk9hr0k</t>
  </si>
  <si>
    <t>https://www.youtube.com/watch?v=0dwmEiLoVb4</t>
  </si>
  <si>
    <t>https://www.youtube.com/watch?v=iEWelOXmsPo</t>
  </si>
  <si>
    <t>https://www.youtube.com/watch?v=1tzrivR9sBs</t>
  </si>
  <si>
    <t>https://www.youtube.com/watch?v=ecEfLPEwzo8</t>
  </si>
  <si>
    <t>https://www.youtube.com/watch?v=wCAlhOtkJyQ</t>
  </si>
  <si>
    <t>ว 4.2</t>
  </si>
  <si>
    <t>ว 3/1</t>
  </si>
  <si>
    <t>ว 5.1</t>
  </si>
  <si>
    <t>ท 1.1,ท 5.1</t>
  </si>
  <si>
    <t>การจำแนกประเภทของดอก</t>
  </si>
  <si>
    <t>เสียงในภาษา ตอน 2</t>
  </si>
  <si>
    <t>องค์ประกอบของพยางค์และคำ ตอน 1</t>
  </si>
  <si>
    <t>การสืบพันธุ์ของพืชดอก(ขั้นตอนการถ่ายละอองเรณู)</t>
  </si>
  <si>
    <t>องค์ประกอบของพยางค์และคำ ตอน 2</t>
  </si>
  <si>
    <t>การสืบพันธุ์ของพืชดอก (ขั้นตอนการปฏิสนธิ)</t>
  </si>
  <si>
    <t>การอ่านจับใจความคำนมัสการ</t>
  </si>
  <si>
    <t>การสืบพันธุ์แบบอาศัยเพศของสัตว์ (แบบปฏิสนธิภายในที่ออกลูกเป็นตัว)</t>
  </si>
  <si>
    <t>การอ่านแปลความ (นิราศนรินทร์)</t>
  </si>
  <si>
    <t>การสืบพันธุ์แบบอาศัยเพศของสัตว์ (แบบปฏิสนธิภายในที่ออกลูกเป็นไข่)</t>
  </si>
  <si>
    <t>การตีความ (นิราศนรินทร์)</t>
  </si>
  <si>
    <t>การจำแนกสัตว์</t>
  </si>
  <si>
    <t>การอ่านขยายความ
(นิทานเวตาล)</t>
  </si>
  <si>
    <t>การเขียนผังความคิด</t>
  </si>
  <si>
    <t>หลักการวิเคราะห์วิจารณ์วรรณคดีเบื้องต้น (เรื่องอิเหนา)</t>
  </si>
  <si>
    <t>หลักการวิเคราะห์และประเมินคุณค่าด้านวรรณศิลป์ (เรื่องอิเหนา)</t>
  </si>
  <si>
    <t>หลักการวิเคราะห์โครงเรื่อง แยกแยะตามองค์ประกอบของเรื่อง (เรื่องอิเหนา)</t>
  </si>
  <si>
    <t>หลักการวิเคราะห์แนวคิดสำคัญของเรื่อง (เรื่องอิเหนา)</t>
  </si>
  <si>
    <t xml:space="preserve">การเขียนอธิบาย
</t>
  </si>
  <si>
    <t xml:space="preserve">บทพระราชนิพนธ์ หัวใจชายหนุ่ม ตอนที่ 1
</t>
  </si>
  <si>
    <t xml:space="preserve">บทพระราชนิพนธ์ หัวใจชายหนุ่ม ตอนที่ 2
</t>
  </si>
  <si>
    <t xml:space="preserve">บทพระราชนิพนธ์ หัวใจชายหนุ่ม ตอนที่ 3
</t>
  </si>
  <si>
    <t>การเขียนอ้างอิงข้อมูล   สารสนเทศ</t>
  </si>
  <si>
    <t xml:space="preserve">การจดบันทึกความรู้
</t>
  </si>
  <si>
    <t>การเขียนสะกดคำ</t>
  </si>
  <si>
    <t>ปิยะฤกษ์ บุญโกศล</t>
  </si>
  <si>
    <t>การขยายพันธุ์สัตว์ไม่อาศัยเพศ</t>
  </si>
  <si>
    <t>สัตว์มีกระดูกสันหลังจำพวกปลา</t>
  </si>
  <si>
    <t>สัตว์มีกระดูกสันหลังจำพวกสัตว์บกครึ่งน้ำ</t>
  </si>
  <si>
    <t>สัตว์มีกระดูกสันหลังจำพวกสัตว์เลื้อยคลาน</t>
  </si>
  <si>
    <t>สัตว์มีกระดูกสันหลังจำพวกสัตว์ปีก</t>
  </si>
  <si>
    <t>สัตว์มีกระดูกสันหลังจำพวกสัตว์เลี้ยงลูกด้วยนม</t>
  </si>
  <si>
    <t>เบญจมาส เข็มพงษ์</t>
  </si>
  <si>
    <t>แรงเสียดทาน</t>
  </si>
  <si>
    <t>ครูสุรภี มหาโชติ</t>
  </si>
  <si>
    <t>แรงดันอากาศ</t>
  </si>
  <si>
    <t>สมบัติด้าน
ความแข็งของวัสดุ</t>
  </si>
  <si>
    <t>ครูสุนันทา สถิตเสถียร</t>
  </si>
  <si>
    <t>ศิริพร ทวีชาติ</t>
  </si>
  <si>
    <t>สมบัติด้าน
ความยืดหยุ่นของวัสดุ</t>
  </si>
  <si>
    <t>ครูสิริรักษ์  นักดนตรี</t>
  </si>
  <si>
    <t>สมบัติด้าน
ความเหนียวของวัสดุ</t>
  </si>
  <si>
    <t>สมบัติด้าน
การนำความร้อนของวัสดุ</t>
  </si>
  <si>
    <t>ความดันของเหลว</t>
  </si>
  <si>
    <t>อธิวัฒน์ วังกาวรรณ</t>
  </si>
  <si>
    <t>การเกิดเสียงและการเคลื่อนที่    ของเสียง</t>
  </si>
  <si>
    <t>ชวนพิศ แสงสวย</t>
  </si>
  <si>
    <t>รร.เขื่องในพิทยาคาร</t>
  </si>
  <si>
    <t>ครูชวลิต ชองขันปอน</t>
  </si>
  <si>
    <t>รร.ปรางค์กู่</t>
  </si>
  <si>
    <t>ศศิธร เขียวกอ</t>
  </si>
  <si>
    <t>มุกดาภรณ์ พนาสรรค์</t>
  </si>
  <si>
    <t>รร.หอพระ</t>
  </si>
  <si>
    <t>รร.เทพศิรินทร์</t>
  </si>
  <si>
    <t>ครูกัญญารัตน์ สุมนะ</t>
  </si>
  <si>
    <t>ทองใหม่ ดันชั่งทอง</t>
  </si>
  <si>
    <t>จ.อ่างทอง</t>
  </si>
  <si>
    <t>โรงเรียนอนุบาลบ้านแพ้ว (วันครู๒๕๐๐)</t>
  </si>
  <si>
    <t>รร.เมืองนครราชสีมา</t>
  </si>
  <si>
    <t>รร.อนุบาลพิษณุโลก</t>
  </si>
  <si>
    <t>https://www.youtube.com/watch?v=_kwfZv9-ao4</t>
  </si>
  <si>
    <t>https://www.youtube.com/watch?v=MSLULgpPgiM</t>
  </si>
  <si>
    <t>https://www.youtube.com/watch?v=bG3xeD9plPg</t>
  </si>
  <si>
    <t>https://www.youtube.com/watch?v=nLmWdUW9Yn4</t>
  </si>
  <si>
    <t>https://www.youtube.com/watch?v=MWPPpImWsEg</t>
  </si>
  <si>
    <t>https://www.youtube.com/watch?v=KsA9UXaMqME</t>
  </si>
  <si>
    <t>https://www.youtube.com/watch?v=1WMCX1AEuq4</t>
  </si>
  <si>
    <t>https://www.youtube.com/watch?v=X65jBjgj9ls</t>
  </si>
  <si>
    <t>https://www.youtube.com/watch?v=ZD2sHb35mhg</t>
  </si>
  <si>
    <t>https://www.youtube.com/watch?v=ulltqtb0j34</t>
  </si>
  <si>
    <t>https://www.youtube.com/watch?v=g9UrQBMNPbA</t>
  </si>
  <si>
    <t>https://www.youtube.com/watch?v=i-SdbhC_Ltk</t>
  </si>
  <si>
    <t>https://www.youtube.com/watch?v=zoNiCgtpzL4</t>
  </si>
  <si>
    <t>https://www.youtube.com/watch?v=jVKRmXvtb00</t>
  </si>
  <si>
    <t>https://www.youtube.com/watch?v=NduuJSpNbc4</t>
  </si>
  <si>
    <t>https://www.youtube.com/watch?v=WbtezxB7qKs</t>
  </si>
  <si>
    <t>https://www.youtube.com/watch?v=KH5C-ARLs9A</t>
  </si>
  <si>
    <t>https://www.youtube.com/watch?v=3MWotZKqj7o</t>
  </si>
  <si>
    <t>https://www.youtube.com/watch?v=NOCbioPS_98</t>
  </si>
  <si>
    <t>https://www.youtube.com/watch?v=ymDG3Qcc2K4</t>
  </si>
  <si>
    <t>https://www.youtube.com/watch?v=u-D6VngwVeI</t>
  </si>
  <si>
    <t>https://www.youtube.com/watch?v=BJVQ90nirvo</t>
  </si>
  <si>
    <t>https://www.youtube.com/watch?v=teg3kpdnPeM</t>
  </si>
  <si>
    <t>https://www.youtube.com/watch?v=tcLLW-Q0OHI</t>
  </si>
  <si>
    <t>https://www.youtube.com/watch?v=z7JIga9NhwQ</t>
  </si>
  <si>
    <t>https://www.youtube.com/watch?v=QO6WSgCyHL8</t>
  </si>
  <si>
    <t>https://www.youtube.com/watch?v=oJt57oDEJRs</t>
  </si>
  <si>
    <t>https://www.youtube.com/watch?v=ED0pV-JfVNM</t>
  </si>
  <si>
    <t>https://www.youtube.com/watch?v=UiyWnRZDd_M</t>
  </si>
  <si>
    <t>https://www.youtube.com/watch?v=wGOR9kFNMy8</t>
  </si>
  <si>
    <t>https://www.youtube.com/watch?v=x-X_V0r593E</t>
  </si>
  <si>
    <t>https://www.youtube.com/watch?v=vTwk2LyYROY</t>
  </si>
  <si>
    <t>https://www.youtube.com/watch?v=KSRbkS8bO_4</t>
  </si>
  <si>
    <t>https://www.youtube.com/watch?v=cxdxPtkLXEE</t>
  </si>
  <si>
    <t>https://www.youtube.com/watch?v=i57Zesf18vY</t>
  </si>
  <si>
    <t>https://www.youtube.com/watch?v=DI2w8F_7S6U</t>
  </si>
  <si>
    <t>https://www.youtube.com/watch?v=Tk-dZrgywg0</t>
  </si>
  <si>
    <t>https://www.youtube.com/watch?v=Ingwy6-ovwk</t>
  </si>
  <si>
    <t>ม.4-ม.6
เล่ม 2</t>
  </si>
  <si>
    <t>https://www.youtube.com/watch?v=vRJ6k0yPtbc</t>
  </si>
  <si>
    <t>https://www.youtube.com/watch?v=4tKntUyud-M</t>
  </si>
  <si>
    <t>ค 1.1, ค 1.2</t>
  </si>
  <si>
    <t>ค 5.2</t>
  </si>
  <si>
    <t>ค 5.2, ค 5.3</t>
  </si>
  <si>
    <t>การหาผลบวก ผลต่าง 
และผลคูณของจำนวน
ที่อยู่ในรูปกรณฑ์</t>
  </si>
  <si>
    <t>เลขยกกำลังที่มีเลขชี้กำลัง
เป็นจำนวนตรรกยะ ตอน 1 (สมบัติเลขยกกำลัง)</t>
  </si>
  <si>
    <t>เลขยกกำลังที่มีเลขชี้กำลัง
เป็นจำนวนตรรกยะ ตอน 2 
(การแก้โจทย์ปัญหา)</t>
  </si>
  <si>
    <t>อัตราส่วนตรีโกณมิติ นิยาม และ
อัตราส่วนตรีโกณมิติเบื้องต้น</t>
  </si>
  <si>
    <t>อัตราส่วนตรีโกณมิติของ
มุม 30 องศา 45 องศา 
และ 60 องศา ตอน 1</t>
  </si>
  <si>
    <t>อัตราส่วนตรีโกณมิติของ
มุม 30 องศา 45 องศา 
และ 60 องศา ตอน 2 
(การนำไปใช้)</t>
  </si>
  <si>
    <t>โจทย์ปัญหาการประยุกต์ตรีโกณมิติ ตอน 1</t>
  </si>
  <si>
    <t>โจทย์ปัญหาการประยุกต์ตรีโกณมิติ ตอน 2</t>
  </si>
  <si>
    <t>โจทย์ปัญหาความน่าจะเป็น ตอน 1</t>
  </si>
  <si>
    <t>โจทย์ปัญหาความน่าจะเป็น ตอน 2</t>
  </si>
  <si>
    <t>กฎการนับและโจทย์ปัญหา ตอนที่ 1</t>
  </si>
  <si>
    <t>กฎการนับและโจทย์ปัญหา ตอนที่ 2</t>
  </si>
  <si>
    <t>การทดลองสุ่ม, แซมเปิลสเปซ และเหตุการณ์</t>
  </si>
  <si>
    <t>แก้ว สกุลเสริมไกรศรี</t>
  </si>
  <si>
    <t xml:space="preserve">ธัญญา สติภา </t>
  </si>
  <si>
    <t xml:space="preserve">ประยงค์ จันทยุทธ </t>
  </si>
  <si>
    <t>รร.มัธยมวัดนายโรง</t>
  </si>
  <si>
    <t>รร.วชิรธรรมสาธิต</t>
  </si>
  <si>
    <t>รร.กาญจนาภิเษกวิทยาลัย</t>
  </si>
  <si>
    <t>กาฬสินธุ์</t>
  </si>
  <si>
    <t>https://www.youtube.com/watch?v=U2-xH8OcJR8</t>
  </si>
  <si>
    <t>https://www.youtube.com/watch?v=IlE09N-cRaA</t>
  </si>
  <si>
    <t>https://www.youtube.com/watch?v=rTM1jIvJFV4</t>
  </si>
  <si>
    <t>https://www.youtube.com/watch?v=xEvInXQZmSc</t>
  </si>
  <si>
    <t>https://www.youtube.com/watch?v=uR5fiK29PxY</t>
  </si>
  <si>
    <t>https://www.youtube.com/watch?v=H6ud0YMZnjs</t>
  </si>
  <si>
    <t>https://www.youtube.com/watch?v=mJYykgrd_UU</t>
  </si>
  <si>
    <t>https://www.youtube.com/watch?v=_Vf1xOFRBXk</t>
  </si>
  <si>
    <t>https://www.youtube.com/watch?v=qMOKTg2ueyo</t>
  </si>
  <si>
    <t>https://www.youtube.com/watch?v=7CQJkAHlrmE</t>
  </si>
  <si>
    <t>https://www.youtube.com/watch?v=bqgqvDa2AIs</t>
  </si>
  <si>
    <t>https://www.youtube.com/watch?v=0zXpj0nv5Gc</t>
  </si>
  <si>
    <t>https://www.youtube.com/watch?v=beFPyLjUxl0</t>
  </si>
  <si>
    <t>https://www.youtube.com/watch?v=4IdHQoAV-JI</t>
  </si>
  <si>
    <t>ว 3.2</t>
  </si>
  <si>
    <t>ม.4-ม.6
เล่ม 3</t>
  </si>
  <si>
    <t xml:space="preserve">ค 5.1 </t>
  </si>
  <si>
    <t>การเขียนรายงานเชิงวิชาการ ตอนที่ 1</t>
  </si>
  <si>
    <t>การเขียนรายงานเชิงวิชาการ ตอนที่ 2</t>
  </si>
  <si>
    <t>การพูดในโอกาสต่าง ๆ
(พูด แสดงทรรศนะ) ตอน 1</t>
  </si>
  <si>
    <t>การพูดในโอกาสต่าง ๆ
(พูด แสดงทรรศนะ) ตอน 2</t>
  </si>
  <si>
    <t>เสียงในภาษา 
ตอน 1 (เสียงสระ)</t>
  </si>
  <si>
    <t>เสียงในภาษา 
ตอน 2 (เสียงพยัญชนะ)</t>
  </si>
  <si>
    <t>เสียงในภาษา 
ตอน 3 (เสียงวรรณยุกต์)</t>
  </si>
  <si>
    <t>การร้อยเรียงประโยค 
(ประโยคความซ้อน) ตอน 1</t>
  </si>
  <si>
    <t>การร้อยเรียงประโยค 
(ประโยคความซ้อน) ตอน 2</t>
  </si>
  <si>
    <t>การวิเคราะห์และประเมินคุณค่าวรรณคดี 
ประเภทสารคดี ตอน 1</t>
  </si>
  <si>
    <t>การวิเคราะห์และประเมินคุณค่าวรรณคดี 
ประเภทสารคดี ตอน 2</t>
  </si>
  <si>
    <t>การวิเคราะห์และประเมินคุณค่าวรรณคดี ประเภทบันเทิงคดี ตอน 1</t>
  </si>
  <si>
    <t>อาหารและประโยชน์ของสารอาหาร</t>
  </si>
  <si>
    <t>การทดสอบสารอาหาร (ประเภทแป้งและไขมัน)</t>
  </si>
  <si>
    <t>การวิเคราะห์และประเมินคุณค่าวรรณคดี ประเภทบันเทิงคดี ตอน 2</t>
  </si>
  <si>
    <t>การวิเคราะห์และประเมินคุณค่า
ทางด้านวรรณศิลป์ ตอน 1</t>
  </si>
  <si>
    <t>การวิเคราะห์และประเมินคุณค่า
ทางด้านวรรณศิลป์ ตอน 2</t>
  </si>
  <si>
    <t>การวิเคราะห์และประเมินคุณค่า
ทางด้านวรรณศิลป์
(ด้านสังคมและวัฒนธรรม) 
ตอน 3</t>
  </si>
  <si>
    <t>ภาษากับวัฒนธรรม ภาษาถิ่น ตอน 1</t>
  </si>
  <si>
    <t>ภาษากับวัฒนธรรม ภาษาถิ่น ตอน 2</t>
  </si>
  <si>
    <t>สุกัญญา บุตรพรม</t>
  </si>
  <si>
    <t>ปุญญิสา ยอดสุวรรณ</t>
  </si>
  <si>
    <t>มัณฑิกา วิชัยดิษฐ</t>
  </si>
  <si>
    <t>อรินยา สถิรชาติ</t>
  </si>
  <si>
    <t xml:space="preserve">ปราณี วิจิตโชติ </t>
  </si>
  <si>
    <t>รร.เทิงวิทยาคม</t>
  </si>
  <si>
    <t>โรงเรียนหอวัง</t>
  </si>
  <si>
    <t>ผลของการเพิ่มขึ้นของประชากร มนุษย์ต่อการใช้ทรัพยากร    ธรรมชาติ</t>
  </si>
  <si>
    <t>การเปลี่ยนแปลงสิ่งแวดล้อม    มีผลต่อสิ่งมีชีวิต</t>
  </si>
  <si>
    <t>วงจรไฟฟ้าอย่างง่าย ตัวนำไฟฟ้า และฉนวนไฟฟ้า</t>
  </si>
  <si>
    <t>การต่อเซลล์ไฟฟ้าแบบอนุกรม     และการต่อหลอดไฟฟ้าแบบ     อนุกรม</t>
  </si>
  <si>
    <t>การต่อหลอดไฟฟ้าแบบขนาน</t>
  </si>
  <si>
    <t>แม่เหล็กไฟฟ้า</t>
  </si>
  <si>
    <t>การเกิดหินอัคนี</t>
  </si>
  <si>
    <t>การเกิดหินตะกอน</t>
  </si>
  <si>
    <t>จ.เชียงราย</t>
  </si>
  <si>
    <t>การเกิดหินแปร</t>
  </si>
  <si>
    <t>ค่าเฉลี่ยเลขคณิต 
และค่าเฉลี่ยเลขคณิตรวม</t>
  </si>
  <si>
    <t>ค่าเฉลี่ยเลขคณิตของข้อมูลที่     แจกแจงความถี่และที่มีการถ่วงน้ำหนัก</t>
  </si>
  <si>
    <t xml:space="preserve">มัธยฐานและฐานนิยม </t>
  </si>
  <si>
    <t>การประยุกต์ค่ากลาง
ในการแก้โจทย์ปัญหา</t>
  </si>
  <si>
    <t>การวัดการกระจายของข้อมูล</t>
  </si>
  <si>
    <t>การวัดตำแหน่งที่ของข้อมูล</t>
  </si>
  <si>
    <t>การหาพจน์ทั่วไปของลำดับ หรือการหาพจน์ที่ n</t>
  </si>
  <si>
    <t>การหาพจน์ทั่วไป
ของลำดับพหุนาม</t>
  </si>
  <si>
    <t>https://www.youtube.com/watch?v=RV10M0f5aMM</t>
  </si>
  <si>
    <t>https://www.youtube.com/watch?v=db5kO96xD10</t>
  </si>
  <si>
    <t>https://www.youtube.com/watch?v=UleYOgcc8eA</t>
  </si>
  <si>
    <t>https://www.youtube.com/watch?v=6_MJ3rWquJc</t>
  </si>
  <si>
    <t>https://www.youtube.com/watch?v=-mYrGbNFZJQ</t>
  </si>
  <si>
    <t>https://www.youtube.com/watch?v=cWqqelCocXU</t>
  </si>
  <si>
    <t>https://www.youtube.com/watch?v=oDQG4c0tggw</t>
  </si>
  <si>
    <t>https://www.youtube.com/watch?v=sHwK9jm9sks</t>
  </si>
  <si>
    <t>https://www.youtube.com/watch?v=xuwHQpd0vFw</t>
  </si>
  <si>
    <t>มลฤดี นิลนิตย์</t>
  </si>
  <si>
    <t>ความหมายของลำดับเรขาคณิตและการหาลำดับเรขาคณิต</t>
  </si>
  <si>
    <t>https://www.youtube.com/watch?v=18_8krEcxOQ</t>
  </si>
  <si>
    <t>กรวรรณ คูณตาแสง</t>
  </si>
  <si>
    <t>การหาจำนวนพจน์ของลำดับ  เรขาคณิตและการจำแนก   ประเภทของลำดับ</t>
  </si>
  <si>
    <t>บังอร ประเสริฐผล</t>
  </si>
  <si>
    <t>การแก้โจทย์ปัญหาเกี่ยวกับ
การสมมติลำดับเรขาคณิต</t>
  </si>
  <si>
    <t>การหาผลบวก n พจน์แรก
ของอนุกรมเลขคณิต</t>
  </si>
  <si>
    <t>การแก้โจทย์ปัญหา
อนุกรมเลขคณิต</t>
  </si>
  <si>
    <t>การหาผลบวก n พจน์แรกของอนุกรมเรขาคณิต</t>
  </si>
  <si>
    <t>การแก้โจทย์ปัญหา
อนุกรมเรขาคณิต</t>
  </si>
  <si>
    <t>https://www.youtube.com/watch?v=_VjcMMJt7YQ</t>
  </si>
  <si>
    <t>พนิดา ยอดรัก</t>
  </si>
  <si>
    <t>https://www.youtube.com/watch?v=Zc8R653WAts</t>
  </si>
  <si>
    <t>รร.อนุบาลสระบุรี</t>
  </si>
  <si>
    <t>ยุวดี พันธ์สุจริต</t>
  </si>
  <si>
    <t>รร.อนุบาลตาก</t>
  </si>
  <si>
    <t>ภัทรา ภัทรพงษ์</t>
  </si>
  <si>
    <t>https://www.youtube.com/watch?v=scXnHqDa82I</t>
  </si>
  <si>
    <t>วรรณจรรย์ พัชรวิริยานนท์</t>
  </si>
  <si>
    <t>สุกัญญา เหมืองสอง</t>
  </si>
  <si>
    <t xml:space="preserve">สถาพร ศักดิ์ชัยพาณิชยกุล </t>
  </si>
  <si>
    <t>https://www.youtube.com/watch?v=EC1Lf65cpoA</t>
  </si>
  <si>
    <t>สระบุรี</t>
  </si>
  <si>
    <t>ตาก</t>
  </si>
  <si>
    <t>https://www.youtube.com/watch?v=0QSdoP2SXIs</t>
  </si>
  <si>
    <t>รร.จอมสุรางค์อุปถัมภ์</t>
  </si>
  <si>
    <t>https://www.youtube.com/watch?v=GULYROT6ppo</t>
  </si>
  <si>
    <t>รร.แม่ริมวิทยาคม</t>
  </si>
  <si>
    <t>https://www.youtube.com/watch?v=T8whfhwl-qA</t>
  </si>
  <si>
    <t>รร.ฝางชนูปถัมภ์</t>
  </si>
  <si>
    <t>https://www.youtube.com/watch?v=QLhMw-6SutY</t>
  </si>
  <si>
    <t>แม่ริมวิทยาคม</t>
  </si>
  <si>
    <t>https://www.youtube.com/watch?v=MM6IZkyJof4</t>
  </si>
  <si>
    <t>https://www.youtube.com/watch?v=fSwxh6znCpg</t>
  </si>
  <si>
    <t>https://www.youtube.com/watch?v=9Dpuj9PVKkk</t>
  </si>
  <si>
    <t>https://www.youtube.com/watch?v=hZfsHBmAdfE</t>
  </si>
  <si>
    <t>https://www.youtube.com/watch?v=WQpU4yt2cT0</t>
  </si>
  <si>
    <t>https://www.youtube.com/watch?v=UiamT12iNgI</t>
  </si>
  <si>
    <t>https://www.youtube.com/watch?v=2oiMPBvwZGo</t>
  </si>
  <si>
    <t>https://www.youtube.com/watch?v=Z5JAOTPCn7A</t>
  </si>
  <si>
    <t>https://www.youtube.com/watch?v=uL6OdBGBBQg</t>
  </si>
  <si>
    <t>https://www.youtube.com/watch?v=b-iXkdYObG8</t>
  </si>
  <si>
    <t>https://www.youtube.com/watch?v=MPWAwwSmZ-c</t>
  </si>
  <si>
    <t>https://www.youtube.com/watch?v=Tm6Rp6tEQvM</t>
  </si>
  <si>
    <t>https://www.youtube.com/watch?v=DKW7uMq8GHs</t>
  </si>
  <si>
    <t>https://www.youtube.com/watch?v=W6MPDPbzyko</t>
  </si>
  <si>
    <t>https://www.youtube.com/watch?v=inyr5lNMrjs</t>
  </si>
  <si>
    <t>https://www.youtube.com/watch?v=KazwjM9uWNc</t>
  </si>
  <si>
    <t>https://www.youtube.com/watch?v=7AWIEJQYWXE</t>
  </si>
  <si>
    <t>https://www.youtube.com/watch?v=O99pHZGppSU</t>
  </si>
  <si>
    <t>https://www.youtube.com/watch?v=dQTl08wIIPc</t>
  </si>
  <si>
    <t>https://www.youtube.com/watch?v=Lo2Qd2_FA4Q</t>
  </si>
  <si>
    <t>https://www.youtube.com/watch?v=nLF8Dx_JQyU</t>
  </si>
  <si>
    <t>https://www.youtube.com/watch?v=dcBnxNbknY0</t>
  </si>
  <si>
    <t>https://www.youtube.com/watch?v=9Leo53cHvns</t>
  </si>
  <si>
    <t>https://www.youtube.com/watch?v=IGgNhJHK4iI</t>
  </si>
  <si>
    <t>https://www.youtube.com/watch?v=SNnPPL_Obno</t>
  </si>
  <si>
    <t>https://www.youtube.com/watch?v=-qq7gmn1ohA</t>
  </si>
  <si>
    <t>https://www.youtube.com/watch?v=KAtJy8_sNdU</t>
  </si>
  <si>
    <t>https://www.youtube.com/watch?v=_yj2-ziWePA</t>
  </si>
  <si>
    <t>https://www.youtube.com/watch?v=LP0Tk7IQudQ</t>
  </si>
  <si>
    <t>https://www.youtube.com/watch?v=cBoNEtnFPIw</t>
  </si>
  <si>
    <t>https://www.youtube.com/watch?v=3RRIIjU9krI</t>
  </si>
  <si>
    <t>https://www.youtube.com/watch?v=5eBUeY_FnCg</t>
  </si>
  <si>
    <t>https://www.youtube.com/watch?v=8j-OBlAaD9w</t>
  </si>
  <si>
    <t>https://www.youtube.com/watch?v=IYb_RhJkMgo</t>
  </si>
  <si>
    <t>https://www.youtube.com/watch?v=os5f0onC9i0</t>
  </si>
  <si>
    <t>https://www.youtube.com/watch?v=LwHvXJpMPvQ</t>
  </si>
  <si>
    <t>https://www.youtube.com/watch?v=Gb6UQGic0Pw</t>
  </si>
  <si>
    <t>https://www.youtube.com/watch?v=FDts2z1ObDE</t>
  </si>
  <si>
    <t>https://www.youtube.com/watch?v=eIOQ8-LVLVM</t>
  </si>
  <si>
    <t>https://www.youtube.com/watch?v=lKGXTNwzhPo</t>
  </si>
  <si>
    <t>https://www.youtube.com/watch?v=kgN_hQ8xUt0</t>
  </si>
  <si>
    <t>การใช้น้ำเสียงให้เหมาะสม
กับเรื่องที่อ่าน(กาพย์เห่เรือ)</t>
  </si>
  <si>
    <t>การเขียนบันเทิงคดี (เรื่องสั้น)</t>
  </si>
  <si>
    <t>การเขียนโครงเรื่องสารคดี</t>
  </si>
  <si>
    <t>การเขียนรายงาน
การศึกษาค้นคว้า</t>
  </si>
  <si>
    <t>การเขียนโครงงาน</t>
  </si>
  <si>
    <t>การพูดประเมินเรื่องที่ฟังและดู</t>
  </si>
  <si>
    <t>การประเมินการพูด เพื่อนำไปประยุกต์ใช้</t>
  </si>
  <si>
    <t>การโต้แย้ง</t>
  </si>
  <si>
    <t>การอนุมาน</t>
  </si>
  <si>
    <t>ภาษาและเหตุผล</t>
  </si>
  <si>
    <t>การแสดงทรรศนะ</t>
  </si>
  <si>
    <t>การโน้นน้าวใจ</t>
  </si>
  <si>
    <t>หลักการวิเคราะห์และวิจารณ์</t>
  </si>
  <si>
    <t>การวิเคราะห์และวิจารณ์    วรรณกรรม</t>
  </si>
  <si>
    <t>การวิเคราะห์และวิจารณ์    วรรณคดี</t>
  </si>
  <si>
    <t>การพิจารณาคุณค่า      วรรณคดีและวรรณกรรม</t>
  </si>
  <si>
    <t>รสวรรณคดี</t>
  </si>
  <si>
    <t>การใช้กระบวนการคิด     ในการอ่าน</t>
  </si>
  <si>
    <t>การอ่านวิจารณญาณ</t>
  </si>
  <si>
    <t>การสังเคราะห์ความรู้      จากการอ่าน</t>
  </si>
  <si>
    <t>การผลิตงานเขียน</t>
  </si>
  <si>
    <t>การเลือกเรื่องฟังและดู</t>
  </si>
  <si>
    <t>การพูดเสนอแนวคิด</t>
  </si>
  <si>
    <t>ลัดดาศรี ศรีสังวาล</t>
  </si>
  <si>
    <t>ศรีรัญญา ศรีสนิท</t>
  </si>
  <si>
    <t>ประทีป ศรีรุ่งเรือง</t>
  </si>
  <si>
    <t>ภาทิพย์ ศรีสุทธิ์</t>
  </si>
  <si>
    <t>ศักดิ์ดา เปลี่ยนเดชา</t>
  </si>
  <si>
    <t>ครูวิชชากร แสงเพชรอ่อน</t>
  </si>
  <si>
    <t>ครูวรัญญา เอี่ยมสำอางค์</t>
  </si>
  <si>
    <t>ครูปนัดดา ใจสุทธิ์</t>
  </si>
  <si>
    <t>ครูนิตยา พลกล้า</t>
  </si>
  <si>
    <t>ครูวันวิสาข์ อังศุเกียรติถาวร</t>
  </si>
  <si>
    <t>ชัชวลัย บัวทรัพย์</t>
  </si>
  <si>
    <t>ศราวุฒิ เนียมหอม</t>
  </si>
  <si>
    <t>รร.สุราษฎร์ธานี</t>
  </si>
  <si>
    <t>รร.เตรียมอุดมศึกษา สุวินทวงศ์</t>
  </si>
  <si>
    <t>รร.วัดไร่ขิง</t>
  </si>
  <si>
    <t>รร.กาญจนาภิเษกวิทยาลัยกาฬสินธุ์</t>
  </si>
  <si>
    <t>จ.กาฬสินธุ์</t>
  </si>
  <si>
    <t>https://www.youtube.com/watch?v=5klMiBksVqk</t>
  </si>
  <si>
    <t>https://www.youtube.com/watch?v=MKoAGMJI-a4</t>
  </si>
  <si>
    <t>ว 3.1</t>
  </si>
  <si>
    <t>https://www.youtube.com/watch?v=JqmNW5hb8CQ</t>
  </si>
  <si>
    <t>https://www.youtube.com/watch?v=i9ob7etOPFs</t>
  </si>
  <si>
    <t>https://www.youtube.com/watch?v=LoPEB2N2En8</t>
  </si>
  <si>
    <t>https://www.youtube.com/watch?v=zGaAM8Jaapg</t>
  </si>
  <si>
    <t>https://www.youtube.com/watch?v=jg1sEojLqOA</t>
  </si>
  <si>
    <t>https://www.youtube.com/watch?v=Xp-oBMIA--s</t>
  </si>
  <si>
    <t>https://www.youtube.com/watch?v=4yZprcPHX_k</t>
  </si>
  <si>
    <t>https://www.youtube.com/watch?v=IDymjKxYEZ8</t>
  </si>
  <si>
    <t>https://www.youtube.com/watch?v=e0I_k6_1wzs</t>
  </si>
  <si>
    <t>https://www.youtube.com/watch?v=h73cf7TP9Oc</t>
  </si>
  <si>
    <t>https://www.youtube.com/watch?v=Ru8AuzYLKUE</t>
  </si>
  <si>
    <t>https://www.youtube.com/watch?v=R-DMN-YrBJ8</t>
  </si>
  <si>
    <t>https://www.youtube.com/watch?v=iS2EcTAfWEY</t>
  </si>
  <si>
    <t>https://www.youtube.com/watch?v=bfCp49YPzak</t>
  </si>
  <si>
    <t>https://www.youtube.com/watch?v=14OgrQqz8ls</t>
  </si>
  <si>
    <t>https://www.youtube.com/watch?v=zFFV904XQiI</t>
  </si>
  <si>
    <t>https://www.youtube.com/watch?v=gXq7Aaz2dC4</t>
  </si>
  <si>
    <t>กรดและเบสในชีวิตประจำวัน</t>
  </si>
  <si>
    <t>องค์ประกอบของสารละลาย</t>
  </si>
  <si>
    <t>การละลายของสาร
ในตัวทำละลาย</t>
  </si>
  <si>
    <t>ความเข้มข้นของสารละลายในหน่วยร้อยละโดยมวล
ต่อปริมาตร</t>
  </si>
  <si>
    <t>ความเข้มข้นของสารละลาย  ในหน่วยร้อยละโดยมวล</t>
  </si>
  <si>
    <t>ความเข้มข้นของสารละลาย   ในหน่วยร้อยละโดยปริมาตร</t>
  </si>
  <si>
    <t>พลังงานกับการละลาย</t>
  </si>
  <si>
    <t>ปัจจัยที่มีผลต่อการละลาย</t>
  </si>
  <si>
    <t>การคำนวณเปลี่ยนหน่วย
อุณหภูมิ</t>
  </si>
  <si>
    <t>ความหมายและประเภท
การถ่ายโอนความร้อน</t>
  </si>
  <si>
    <t>สมดุลความร้อน</t>
  </si>
  <si>
    <t>การขยายตัวของวัตถุ
เมื่อได้รับความร้อน</t>
  </si>
  <si>
    <t>ธานี จันทร์นาง</t>
  </si>
  <si>
    <t>ครูลัดดาวัลย์ หุ่นธานี</t>
  </si>
  <si>
    <t>กนกวรรณ ศรชัย</t>
  </si>
  <si>
    <t>ครูกัณจนา  อักษรดิษฐ์</t>
  </si>
  <si>
    <t>รร.วิเชียรกลิ่นสุคนธ์อุปถัมภ์</t>
  </si>
  <si>
    <t>โรงเรียนพุทธมงคลวิทยา</t>
  </si>
  <si>
    <t xml:space="preserve">โรงเรียนปรางค์กู่ </t>
  </si>
  <si>
    <t>โรงเรียนเทิงวิทยาคม</t>
  </si>
  <si>
    <t>https://www.youtube.com/watch?v=JSohiMX4uiY</t>
  </si>
  <si>
    <t>https://www.youtube.com/watch?v=bYBWhXm6CY4</t>
  </si>
  <si>
    <t>https://www.youtube.com/watch?v=qiPmcNPU9Kk</t>
  </si>
  <si>
    <t>https://www.youtube.com/watch?v=kUXxbLD12bQ</t>
  </si>
  <si>
    <t>https://www.youtube.com/watch?v=A4j3ADvodGU</t>
  </si>
  <si>
    <t>https://www.youtube.com/watch?v=gfCFfjlPXa4</t>
  </si>
  <si>
    <t>https://www.youtube.com/watch?v=CWiu9LpH_4A</t>
  </si>
  <si>
    <t>https://www.youtube.com/watch?v=eCjujtMyjtM</t>
  </si>
  <si>
    <t>https://www.youtube.com/watch?v=-reWc_DnV2Y</t>
  </si>
  <si>
    <t>https://www.youtube.com/watch?v=mF8iMw9QsJQ</t>
  </si>
  <si>
    <t>https://www.youtube.com/watch?v=S-UsEfLdwKk</t>
  </si>
  <si>
    <t>https://www.youtube.com/watch?v=CAkUkiiaO7Y</t>
  </si>
  <si>
    <t>https://www.youtube.com/watch?v=tDC_Z751gBc</t>
  </si>
  <si>
    <t>https://www.youtube.com/watch?v=hJN530tPwEE</t>
  </si>
  <si>
    <t>https://www.youtube.com/watch?v=0SBALnw8ZxE</t>
  </si>
  <si>
    <t>https://www.youtube.com/watch?v=WcoCxGLHj1o</t>
  </si>
  <si>
    <t>https://www.youtube.com/watch?v=FzEW_1CDdn4</t>
  </si>
  <si>
    <t>https://www.youtube.com/watch?v=xZ18ORJO2ns</t>
  </si>
  <si>
    <t>https://www.youtube.com/watch?v=s7yhH98i-iU</t>
  </si>
  <si>
    <t>https://www.youtube.com/watch?v=G9-114pEqc4</t>
  </si>
  <si>
    <t>ปฏิกิริยาเคมี</t>
  </si>
  <si>
    <t>สมการเคมี</t>
  </si>
  <si>
    <t>กฎทรงมวล</t>
  </si>
  <si>
    <t>ปัจจัยที่มีผลต่อ
การเกิดปฏิกิริยา ตอน 1
(ชนิดของสารและอุณหภูมิ)</t>
  </si>
  <si>
    <t>ปัจจัยที่มีผลต่อ
การเกิดปฏิกิริยา ตอน 2
(ความเข้มข้นและพื้นที่ผิว)</t>
  </si>
  <si>
    <t>หินตะกอนและการใช้ประโยชน์</t>
  </si>
  <si>
    <t>หินอัคนีและการใช้ประโยชน์</t>
  </si>
  <si>
    <t>หินแปรและการใช้ประโยชน์</t>
  </si>
  <si>
    <t>วัฏจักรหิน</t>
  </si>
  <si>
    <t>การกำเนิดและสมบัติของแร่</t>
  </si>
  <si>
    <t>ประโยชน์และแหล่งที่พบของแร่</t>
  </si>
  <si>
    <t>ปิโตรเลียม ถ่านหิน หินน้ำมัน</t>
  </si>
  <si>
    <t>สารเนื้อผสม 
ประเภทคอลลอยด์</t>
  </si>
  <si>
    <t>โครงสร้างโลก</t>
  </si>
  <si>
    <t>การผุพังอยู่กับที่ ตอน 1</t>
  </si>
  <si>
    <t>การผุพังอยู่กับที่ ตอน 2</t>
  </si>
  <si>
    <t>ขนาดและทิศทางของแรง</t>
  </si>
  <si>
    <t>นิตยา มะโนคำ</t>
  </si>
  <si>
    <t>ครูจิตติชัย บุญพา</t>
  </si>
  <si>
    <t>ครูนาวิน แป้นเหลือ</t>
  </si>
  <si>
    <t>ครูปวเรศ มุดไธสง</t>
  </si>
  <si>
    <t>ครูกมลนัทธ์ นามี</t>
  </si>
  <si>
    <t>ครูวรางค์ภัทร์ สุขเรือน</t>
  </si>
  <si>
    <t>ครูสุชาดา ตั้งสมบัติไพบูลย์</t>
  </si>
  <si>
    <t xml:space="preserve"> รร.จักรคำคณาทร</t>
  </si>
  <si>
    <t>โรงเรียนสามพาดพิทยาคาร</t>
  </si>
  <si>
    <t>รร.วัดตะพงนอก</t>
  </si>
  <si>
    <t>รร.เสอเพลอพิทยาคม</t>
  </si>
  <si>
    <t>โรงเรียนสงวนหญิง</t>
  </si>
  <si>
    <t>รร.มัธยมวัดดุสิตาราม</t>
  </si>
  <si>
    <t>ลำพูน</t>
  </si>
  <si>
    <t>จ.อุดรธานี</t>
  </si>
  <si>
    <t>จ.อยุธยา</t>
  </si>
  <si>
    <t>https://www.youtube.com/watch?v=GDGd1OE8G-4</t>
  </si>
  <si>
    <t>https://www.youtube.com/watch?v=kHZhhRHhpZc</t>
  </si>
  <si>
    <t>https://www.youtube.com/watch?v=wO4rxlyS_JU</t>
  </si>
  <si>
    <t>https://www.youtube.com/watch?v=6lIqGDAB89U</t>
  </si>
  <si>
    <t>https://www.youtube.com/watch?v=zHvfU2AcitI</t>
  </si>
  <si>
    <t>https://www.youtube.com/watch?v=w5702SGTS38</t>
  </si>
  <si>
    <t>https://www.youtube.com/watch?v=ossVHbhWCLg</t>
  </si>
  <si>
    <t>https://www.youtube.com/watch?v=oRuEozCzaYw</t>
  </si>
  <si>
    <t>https://www.youtube.com/watch?v=De7by6PTX7E</t>
  </si>
  <si>
    <t>https://www.youtube.com/watch?v=ilFnwkxuuWo</t>
  </si>
  <si>
    <t>https://www.youtube.com/watch?v=pUhki0vza28</t>
  </si>
  <si>
    <t>https://www.youtube.com/watch?v=zwCnJAzvVeg</t>
  </si>
  <si>
    <t>https://www.youtube.com/watch?v=7IUbhXvjw0I</t>
  </si>
  <si>
    <t>https://www.youtube.com/watch?v=nLpBNixxEuE</t>
  </si>
  <si>
    <t>https://www.youtube.com/watch?v=qANLFfVrn5A</t>
  </si>
  <si>
    <t>https://www.youtube.com/watch?v=xPsP5jtNj18</t>
  </si>
  <si>
    <t>https://www.youtube.com/watch?v=NJvKyBJHf3k</t>
  </si>
  <si>
    <t>https://www.youtube.com/watch?v=V61_Qzi-2qw</t>
  </si>
  <si>
    <t>https://www.youtube.com/watch?v=1YJ_tWXUbL0</t>
  </si>
  <si>
    <t>https://www.youtube.com/watch?v=vho25O5Kb78</t>
  </si>
  <si>
    <t>https://www.youtube.com/watch?v=wY7NEbAsrq8</t>
  </si>
  <si>
    <t>ว 7.1</t>
  </si>
  <si>
    <t>โมเมนต์ของแรง ตอน 1</t>
  </si>
  <si>
    <t>โมเมนต์ของแรง ตอน 2</t>
  </si>
  <si>
    <t>การเคลื่อนที่ของวัตถุ (การเคลื่อนที่แนวตรง)</t>
  </si>
  <si>
    <t>การเคลื่อนที่ของวัตถุ (การเคลื่อนที่แบบวงกลม)</t>
  </si>
  <si>
    <t>กฎการอนุรักษ์พลังงาน 
ปัจจัยที่มีผลต่อค่าของ
พลังงานศักย์ พลังงานจลน์ ตอน 1</t>
  </si>
  <si>
    <t>กฎการอนุรักษ์พลังงาน 
ปัจจัยที่มีผลต่อค่าของ
พลังงานศักย์ พลังงานจลน์ ตอน 2</t>
  </si>
  <si>
    <t>กฎการอนุรักษ์พลังงาน 
ปัจจัยที่มีผลต่อค่าของ
พลังงานศักย์ พลังงานจลน์ ตอน 3</t>
  </si>
  <si>
    <t>ความต่างศักย์ไฟฟ้า กระแสไฟฟ้า และความต้านทานไฟฟ้า มีความสัมพันธ์กันตามกฎของโอห์ม ตอน 1</t>
  </si>
  <si>
    <t>ความต่างศักย์ไฟฟ้า กระแสไฟฟ้า และความต้านทานไฟฟ้า มีความสัมพันธ์กันตามกฎของโอห์ม ตอน 2</t>
  </si>
  <si>
    <t>การคำนวณค่าพลังงานไฟฟ้า ตอน 1</t>
  </si>
  <si>
    <t>การคำนวณค่าพลังงานไฟฟ้า ตอน 2</t>
  </si>
  <si>
    <t>ชิ้นส่วนอิเล็กทรอนิกส์</t>
  </si>
  <si>
    <t>น้ำขึ้น น้ำลง ตอน 1</t>
  </si>
  <si>
    <t>น้ำขึ้น น้ำลง ตอน 2</t>
  </si>
  <si>
    <t>การทดลองของเมนเดล      ตอน 1</t>
  </si>
  <si>
    <t>การทดลองของเมนเดล      ตอน 2</t>
  </si>
  <si>
    <t>แอนนา สุขสังวาลย์</t>
  </si>
  <si>
    <t>สัญชัย วัฒนกุล</t>
  </si>
  <si>
    <t>สุภาพร ดวงศรี</t>
  </si>
  <si>
    <t>สุทธิลักษณ์ ทองพิลา</t>
  </si>
  <si>
    <t>ครูทิพย์ภาภรณ์ สะเดา</t>
  </si>
  <si>
    <t>รำพู ช่างไชย</t>
  </si>
  <si>
    <t>อภิญญา เที่ยงธรรม</t>
  </si>
  <si>
    <t>รร.พยุหะพิทยาคม</t>
  </si>
  <si>
    <t xml:space="preserve"> รร.เบ็ญจะมะมหาราช</t>
  </si>
  <si>
    <t>มัธยมวัดดุสิตาราม</t>
  </si>
  <si>
    <t>โรงเรียนมัธยมวัดนายโรง</t>
  </si>
  <si>
    <t>รร.พิบูลย์รักษ์พิทยา</t>
  </si>
  <si>
    <t>นครสวรรค์</t>
  </si>
  <si>
    <t>อุดรธานี</t>
  </si>
  <si>
    <t>https://www.youtube.com/watch?v=ct0SbZZfxw8</t>
  </si>
  <si>
    <t>https://www.youtube.com/watch?v=dO4gUK2oa1E</t>
  </si>
  <si>
    <t>https://www.youtube.com/watch?v=ICEqkXraanU</t>
  </si>
  <si>
    <t>https://www.youtube.com/watch?v=tMyOGzHGB08</t>
  </si>
  <si>
    <t>https://www.youtube.com/watch?v=oc3qKrFNf5k</t>
  </si>
  <si>
    <t>https://www.youtube.com/watch?v=pq4HXvMaCOA</t>
  </si>
  <si>
    <t>https://www.youtube.com/watch?v=PCkvL8kgU-Y</t>
  </si>
  <si>
    <t>https://www.youtube.com/watch?v=R-QXkxHADZo</t>
  </si>
  <si>
    <t>https://www.youtube.com/watch?v=mAJifroY9JI</t>
  </si>
  <si>
    <t>https://www.youtube.com/watch?v=EViDmSnyJ1w</t>
  </si>
  <si>
    <t>https://www.youtube.com/watch?v=jaIhYZK4snc</t>
  </si>
  <si>
    <t>https://www.youtube.com/watch?v=OHWWMjdO0Hc</t>
  </si>
  <si>
    <t>https://www.youtube.com/watch?v=lzoEfno_hxE</t>
  </si>
  <si>
    <t>https://www.youtube.com/watch?v=P_jiROMKusA</t>
  </si>
  <si>
    <t>https://www.youtube.com/watch?v=xEEQz7JNkZs</t>
  </si>
  <si>
    <t>https://www.youtube.com/watch?v=rNS997LwV_g</t>
  </si>
  <si>
    <t>https://www.youtube.com/watch?v=1DRCvJNeY5k</t>
  </si>
  <si>
    <t>https://www.youtube.com/watch?v=rhTqxnZEhNY</t>
  </si>
  <si>
    <t>https://www.youtube.com/watch?v=_5uyw25oiTA</t>
  </si>
  <si>
    <t>https://www.youtube.com/watch?v=6bXA3IHoN-E</t>
  </si>
  <si>
    <t>https://www.youtube.com/watch?v=FJT6ui22yOQ</t>
  </si>
  <si>
    <t>https://www.youtube.com/watch?v=wIzyXqsisb8</t>
  </si>
  <si>
    <t>https://www.youtube.com/watch?v=yA4GFJeu6c0</t>
  </si>
  <si>
    <t>https://www.youtube.com/watch?v=759w4HcjjEY</t>
  </si>
  <si>
    <t>ม.4-ม.6
(ฟิสิกส์)</t>
  </si>
  <si>
    <t>ว.4.1</t>
  </si>
  <si>
    <t>แรงจากสนามแรงโน้มถ่วง</t>
  </si>
  <si>
    <t>แรงจากสนามไฟฟ้า</t>
  </si>
  <si>
    <t>แรงจากสนามแม่เหล็ก</t>
  </si>
  <si>
    <t>คลื่นกล 
และองค์ประกอบของคลื่น</t>
  </si>
  <si>
    <t>สมบัติของคลื่น ตอน 1</t>
  </si>
  <si>
    <t>สมบัติของคลื่น ตอน 2</t>
  </si>
  <si>
    <t>การเคลื่อนที่ อัตราเร็ว 
และความถี่ของคลื่นเสียง</t>
  </si>
  <si>
    <t>ลักษณะทางกายภาพ
ของคลื่นเสียง การเกิดบีตส์</t>
  </si>
  <si>
    <t>การค้นพบกัมมันตภาพรังสี ไอโซโทป กัมมันตภาพรังสี</t>
  </si>
  <si>
    <t>ครึ่งชีวิต</t>
  </si>
  <si>
    <t>ปฏิกิริยานิวเคลียร์</t>
  </si>
  <si>
    <t>การเปลี่ยนแปลงของสนาม   แม่เหล็กและสนามแม่เหล็ก</t>
  </si>
  <si>
    <t>ความสัมพันธ์ระหว่างสนาม    แม่เหล็กและสนามไฟฟ้า</t>
  </si>
  <si>
    <t>การเกิดคลื่นแม่เหล็กไฟฟ้า</t>
  </si>
  <si>
    <t>สเปกตรัมคลื่นแม่เหล็กไฟฟ้า</t>
  </si>
  <si>
    <t>อาทิตย์ พงศ์สุพัฒน์</t>
  </si>
  <si>
    <t>เทวัญ ดีจรัส</t>
  </si>
  <si>
    <t>ชรินทร์ วัฒนธีรางกูร</t>
  </si>
  <si>
    <t>ธิติพัทธ์ ชุติวัฒน์โสภณ</t>
  </si>
  <si>
    <t>รร.บุญวาทย์วิทยาลัย</t>
  </si>
  <si>
    <t>รร.สตรีสมุทรปราการ</t>
  </si>
  <si>
    <t>ลำปาง</t>
  </si>
  <si>
    <t>สมุทรปราการ</t>
  </si>
  <si>
    <t>https://www.youtube.com/watch?v=N3IEaj0GgOY</t>
  </si>
  <si>
    <t>https://www.youtube.com/watch?v=0qdFxz9cX-Y</t>
  </si>
  <si>
    <t>https://www.youtube.com/watch?v=OLRcort3nhw</t>
  </si>
  <si>
    <t>https://www.youtube.com/watch?v=ihPPoRCds1M</t>
  </si>
  <si>
    <t>https://www.youtube.com/watch?v=Hn32Q2SA5gc</t>
  </si>
  <si>
    <t>https://www.youtube.com/watch?v=gBWKSm8GY_s</t>
  </si>
  <si>
    <t>https://www.youtube.com/watch?v=J4pK2RGoYzk</t>
  </si>
  <si>
    <t>https://www.youtube.com/watch?v=hcUSV3cKlq8</t>
  </si>
  <si>
    <t>https://www.youtube.com/watch?v=QvUM6t_MTAg</t>
  </si>
  <si>
    <t>https://www.youtube.com/watch?v=2L0khoJuqk8</t>
  </si>
  <si>
    <t>https://www.youtube.com/watch?v=gzhFtjDohOg</t>
  </si>
  <si>
    <t>https://www.youtube.com/watch?v=9xvTf9UiPwE</t>
  </si>
  <si>
    <t>https://www.youtube.com/watch?v=Nqn3kP5JjU4</t>
  </si>
  <si>
    <t>https://www.youtube.com/watch?v=i1mxMfzdmDw</t>
  </si>
  <si>
    <t>https://www.youtube.com/watch?v=qyx97u8qwzc</t>
  </si>
  <si>
    <t>https://www.youtube.com/watch?v=831JhgKXNSA</t>
  </si>
  <si>
    <t>https://www.youtube.com/watch?v=0ZoBOF_oUIc</t>
  </si>
  <si>
    <t>https://www.youtube.com/watch?v=8K0Q0Ymm7BI</t>
  </si>
  <si>
    <t>https://www.youtube.com/watch?v=_n9kD0d4I3k</t>
  </si>
  <si>
    <t>ม.4-ม.6
(เคมี)</t>
  </si>
  <si>
    <t>สมบัติของธาตุ ตามคาบ</t>
  </si>
  <si>
    <t>การเกิดและชนิดของพันธะโคเวเลนต์</t>
  </si>
  <si>
    <t>การเขียนสูตรและเรียกชื่อสารโคเวเลนต์</t>
  </si>
  <si>
    <t>การเกิดและการเขียนสูตรของสารประกอบไอออนิก</t>
  </si>
  <si>
    <t>การเรียกชื่อและสมบัติของสารประกอบไอออนิก</t>
  </si>
  <si>
    <t>ปฏิกิริยาเคมี สมการเคมี 
และการดุลสมการ</t>
  </si>
  <si>
    <t>อัตราการเกิดและการคำนวณอัตราการปฏิกิริยาเคมี</t>
  </si>
  <si>
    <t>ปัจจัยที่มีผลต่ออัตรา
การเกิดปฏิกิริยาเคมี</t>
  </si>
  <si>
    <t>สมบัติบางประการ
ของคาร์โบไฮเตรต</t>
  </si>
  <si>
    <t>องค์ประกอบและโครงสร้างของไขมันและน้ำมัน</t>
  </si>
  <si>
    <t>องค์ประกอบและโครงสร้างของโปรตีน</t>
  </si>
  <si>
    <t>สุภลักษณ์ สถิตไชยนนท์</t>
  </si>
  <si>
    <t>ชุติมันท์ ชัยบาล</t>
  </si>
  <si>
    <t>นภาจิตร ดุสดี</t>
  </si>
  <si>
    <t>ครูวรรณกร ไกรวรรณ</t>
  </si>
  <si>
    <t>ชวลิต สุจริต</t>
  </si>
  <si>
    <t>ครูไพศาล ศรีชัยทุ่ง</t>
  </si>
  <si>
    <t>รร.วัฒโนทัยพายัพ</t>
  </si>
  <si>
    <t>รร.วัดเขมาภิรตาราม</t>
  </si>
  <si>
    <t>โรงเรียนกาญจนาภิเษกวิทยาลัยกาฬสินธุ์</t>
  </si>
  <si>
    <t>ร.ร.นวมินทราชินูทิศ สวนกุหลาบวิทยาลัย</t>
  </si>
  <si>
    <t>โรงเรียนอัสสัมชัญสมุทรปราการ</t>
  </si>
  <si>
    <t>https://www.youtube.com/watch?v=5eBWDMrRwXg</t>
  </si>
  <si>
    <t>https://www.youtube.com/watch?v=fsDO6TzvhUY</t>
  </si>
  <si>
    <t>https://www.youtube.com/watch?v=WNwf4yHJaRA</t>
  </si>
  <si>
    <t>https://www.youtube.com/watch?v=TzD_EBAAFs8</t>
  </si>
  <si>
    <t>https://www.youtube.com/watch?v=Mni9qNkZUig</t>
  </si>
  <si>
    <t>https://www.youtube.com/watch?v=TP4jauvKQbQ</t>
  </si>
  <si>
    <t>https://www.youtube.com/watch?v=HQDuvd_aMsg</t>
  </si>
  <si>
    <t>https://www.youtube.com/watch?v=ginBJKukxNw</t>
  </si>
  <si>
    <t>https://www.youtube.com/watch?v=K96RMu8AOL0</t>
  </si>
  <si>
    <t>https://www.youtube.com/watch?v=ANSPRR66LL8</t>
  </si>
  <si>
    <t>https://www.youtube.com/watch?v=tSs6nOPaWeU</t>
  </si>
  <si>
    <t>https://www.youtube.com/watch?v=tER4ptk9Doo</t>
  </si>
  <si>
    <t>https://www.youtube.com/watch?v=FMC-GKvqoB4</t>
  </si>
  <si>
    <t>ม.4-ม.6
(ชีววิทยา)</t>
  </si>
  <si>
    <t>การรักษาดุลยภาพของน้ำ 
สารและแร่ธาตุของพืช 
มนุษย์และสัตว์อื่น ๆ 
(ไตและการทำงานของไต)</t>
  </si>
  <si>
    <t>การรักษาดุลยภาพของสิ่งมีชีวิต</t>
  </si>
  <si>
    <t xml:space="preserve">ภูมิคุ้มกันของร่างกาย </t>
  </si>
  <si>
    <t>โครโมโซมและสารพันธุกรรม (โครงสร้างทางเคมีของ DNA)</t>
  </si>
  <si>
    <t>การแบ่งเซลล์แบบไมโทซิส</t>
  </si>
  <si>
    <t>การแบ่งเซลล์แบบไมโอซิส และไมโทซิส ตอน 2</t>
  </si>
  <si>
    <t>การถ่ายทอดลักษณะทางพันธุกรรม (Pedigree)</t>
  </si>
  <si>
    <t>ความสัมพันธ์ระหว่างสิ่งมีชีวิตกับปัจจัยทางชีวภาพ</t>
  </si>
  <si>
    <t>ความสัมพันธ์ระหว่างสิ่งมีชีวิตกับปัจจัยทางกายภาพ</t>
  </si>
  <si>
    <t>การถ่ายทอดพลังงานในสิ่งมีชีวิต</t>
  </si>
  <si>
    <t>การเปลี่ยนแปลงทางพันธุกรรม (มิวเทชัน)</t>
  </si>
  <si>
    <t>ความหลากหลายทางชีวภาพ</t>
  </si>
  <si>
    <t>การคัดเลือกตามธรรมชาติ</t>
  </si>
  <si>
    <t>ปฤษฎางค์ เกี้ยงเก่า</t>
  </si>
  <si>
    <t>ภูษณิศา กุณสิทธิ์</t>
  </si>
  <si>
    <t>ธนบดี อินหาดกรวด</t>
  </si>
  <si>
    <t>กมลรัตน์ ฉิมพาลี</t>
  </si>
  <si>
    <t>ครูชุติมา รอดสุด</t>
  </si>
  <si>
    <t xml:space="preserve">ครูนารถกาญจน์  ลภิรัตนากูล  </t>
  </si>
  <si>
    <t xml:space="preserve"> รร.กุดชุมวิทยาคม</t>
  </si>
  <si>
    <t xml:space="preserve"> รร.ถนนหักพิทยาคม</t>
  </si>
  <si>
    <t>โรงเรียนสุวรรณารามวิทยาคม</t>
  </si>
  <si>
    <t xml:space="preserve">โรงเรียนวัฒโนทัยพายัพ </t>
  </si>
  <si>
    <t>บุรีรัมย์</t>
  </si>
  <si>
    <t>https://www.youtube.com/watch?v=FRksAjZ7GzY</t>
  </si>
  <si>
    <t>https://www.youtube.com/watch?v=VlnGBENHEZQ</t>
  </si>
  <si>
    <t>https://www.youtube.com/watch?v=LBqHelcMiqI</t>
  </si>
  <si>
    <t>https://www.youtube.com/watch?v=fNWfoZ3v_F8</t>
  </si>
  <si>
    <t>https://www.youtube.com/watch?v=Obf95U40XYQ</t>
  </si>
  <si>
    <t>https://www.youtube.com/watch?v=_fVWX8IpX3A</t>
  </si>
  <si>
    <t>https://www.youtube.com/watch?v=f0b4RH_wesM</t>
  </si>
  <si>
    <t>https://www.youtube.com/watch?v=a0vvVd14ybM</t>
  </si>
  <si>
    <t>https://www.youtube.com/watch?v=P4wcYPw9kWI</t>
  </si>
  <si>
    <t>https://www.youtube.com/watch?v=BAUwU1Kd0xU</t>
  </si>
  <si>
    <t>https://www.youtube.com/watch?v=kDvWYlah-Cw</t>
  </si>
  <si>
    <t>https://www.youtube.com/watch?v=jU_6p0Q-LxU</t>
  </si>
  <si>
    <t>https://www.youtube.com/watch?v=_3f0zhts2rA</t>
  </si>
  <si>
    <t>https://www.youtube.com/watch?v=Q-Af9a8GGlY</t>
  </si>
  <si>
    <t>ม.4-ม.6
(โลก และ
ดารา
ศาสตร์)</t>
  </si>
  <si>
    <t>ว 7.2</t>
  </si>
  <si>
    <t>ธรณีประวัติ 
(การแบ่งยุค การหาอายุหิน มาตราธรณีกาล)</t>
  </si>
  <si>
    <t>การลำดับชั้นหิน</t>
  </si>
  <si>
    <t>กำเนิดเอกภพ</t>
  </si>
  <si>
    <t>กาแล็กซี่</t>
  </si>
  <si>
    <t>วิวัฒนาการดาวฤกษ์</t>
  </si>
  <si>
    <t>ความส่องสว่างและโชติมาตรของดาวฤกษ์</t>
  </si>
  <si>
    <t>สีและอุณหภูมิของดาวฤกษ์ กับ ระยะห่างของดาวฤกษ์</t>
  </si>
  <si>
    <t>กำเนิดระบบสุริยะ</t>
  </si>
  <si>
    <t>ดวงอาทิตย์</t>
  </si>
  <si>
    <t>เทคโนโลยีอวกาศ</t>
  </si>
  <si>
    <t>การโคจรของดาวเทียมและการใช้ประโยชน์จากดาวเทียม</t>
  </si>
  <si>
    <t>เอนก ประดิษฐพงษ์</t>
  </si>
  <si>
    <t>อำนาจ อิศรางกูร ณ อยุธยา</t>
  </si>
  <si>
    <t>ครูเผด็จ จิตรากร</t>
  </si>
  <si>
    <t>รร.นวมินทราชินูทิศ 
สวนกุหลาบวิทยาลัย ปทุมธานี</t>
  </si>
  <si>
    <t>รร.บางพลีราษฎร์บำรุง</t>
  </si>
  <si>
    <t>โรงเรียนเตรียมอุดมศึกษา</t>
  </si>
  <si>
    <t>สมุทปราการ</t>
  </si>
  <si>
    <t xml:space="preserve"> กรุงเทพมหานคร</t>
  </si>
  <si>
    <t>https://www.youtube.com/watch?v=jgr_Z-bjyOI</t>
  </si>
  <si>
    <t>https://www.youtube.com/watch?v=4FgVYS00RrI</t>
  </si>
  <si>
    <t>https://www.youtube.com/watch?v=8TLY7jFeX-Y</t>
  </si>
  <si>
    <t>https://www.youtube.com/watch?v=YVWwbNMSUJg</t>
  </si>
  <si>
    <t>https://www.youtube.com/watch?v=8Ctd0Pkn5_w</t>
  </si>
  <si>
    <t>https://www.youtube.com/watch?v=05pnEmK33vg</t>
  </si>
  <si>
    <t>https://www.youtube.com/watch?v=AS4zTgvTi4g</t>
  </si>
  <si>
    <t>https://www.youtube.com/watch?v=IRbca9eAq1Q</t>
  </si>
  <si>
    <t>https://www.youtube.com/watch?v=xvAyJYOCPu8</t>
  </si>
  <si>
    <t>https://www.youtube.com/watch?v=fTCgxKFxtmc</t>
  </si>
  <si>
    <t>https://www.youtube.com/watch?v=MIM5-Smcwzs</t>
  </si>
  <si>
    <t>https://www.youtube.com/watch?v=8NSjbHXKNBo</t>
  </si>
  <si>
    <t>รายการที่ออกอากาศทางห้องเรียนแห่งคุณภาพ ห้องเรียน DLIT กลุ่มสาระฯ - สังคมศึกษา ศาสนา และวัฒนธรรม</t>
  </si>
  <si>
    <t>สังคม
ศึกษา
ศาสนา
และ
วัฒนธรรม</t>
  </si>
  <si>
    <t>ส 1.1</t>
  </si>
  <si>
    <t>ส 1.2</t>
  </si>
  <si>
    <t>ส 2.1</t>
  </si>
  <si>
    <t>ส 3.1</t>
  </si>
  <si>
    <t>ส 3.2</t>
  </si>
  <si>
    <t>ส 4.1</t>
  </si>
  <si>
    <t>ส 4.2</t>
  </si>
  <si>
    <t>ส 5.1</t>
  </si>
  <si>
    <t>ส 5.2</t>
  </si>
  <si>
    <t>โอวาท 3
(เบญจศีล)</t>
  </si>
  <si>
    <t>การทำความดี 
(เบญจธรรม, สังคหวัตถุ)</t>
  </si>
  <si>
    <t>ความกตัญญูกตเวที</t>
  </si>
  <si>
    <t>มงคล 38</t>
  </si>
  <si>
    <t>การทำจิตใจให้บริสุทธิ์ 
(บริหารจิตและเจริญปัญญา)</t>
  </si>
  <si>
    <t>การแสดงตนเป็นพุทธมามกะ (ลำดับขั้นตอนและบทสวด)</t>
  </si>
  <si>
    <t>การแสดงตนเป็นพุทธมามกะ
(การนิมนต์พระมาเป็นประธาน)</t>
  </si>
  <si>
    <t>การเป็นสมาชิกที่ดีของครอบครัวและโรงเรียน ตอน 1</t>
  </si>
  <si>
    <t>การเป็นสมาชิกที่ดีของครอบครัวและโรงเรียน ตอน 2</t>
  </si>
  <si>
    <t>ประโยชน์ของการปฏิบัติตนเป็นสมาชิกที่ดีของครอบครัว
และโรงเรียน</t>
  </si>
  <si>
    <t>คุณธรรม 12 ประการ ลักษณะความสามารถและความดีของตนเอง ตอน 1</t>
  </si>
  <si>
    <t>คุณธรรม 12 ประการ ลักษณะความสามารถและความดีของตนเอง ตอน 2</t>
  </si>
  <si>
    <t>ทรัพยากรในชีวิตประจำวัน</t>
  </si>
  <si>
    <t>ทรัพยากรส่วนรวม</t>
  </si>
  <si>
    <t>ความหมาย ประเภท และความสำคัญของการทำงาน</t>
  </si>
  <si>
    <t>การทำงานอย่างสุจริต
ให้สังคมสงบสุข</t>
  </si>
  <si>
    <t>วันเดือนปีตามระบบสุริยคติ
ที่ปรากฎในปฏิทิน</t>
  </si>
  <si>
    <t>วันเดือนปีตามระบบจันทรคติ
ที่ปรากฎในปฏิทิน</t>
  </si>
  <si>
    <t>สาเหตุและผลของ
การเปลี่ยนแปลงของสิ่งต่าง ๆ ตามกาลเวลา</t>
  </si>
  <si>
    <t>การเปลี่ยนแปลงสภาพอากาศในรอบวัน</t>
  </si>
  <si>
    <t>ภูมิประเทศและภูมิอากาศกับความเป็นอยู่ของมนุษย์ ตอนที่ 1</t>
  </si>
  <si>
    <t>ภูมิประเทศและภูมิอากาศกับความเป็นอยู่ของมนุษย์ ตอนที่ 2</t>
  </si>
  <si>
    <t>ภูมิประเทศและภูมิอากาศกับความเป็นอยู่ของมนุษย์ ตอนที่ 3</t>
  </si>
  <si>
    <t>สมฤดี ปิ่นแก้ว</t>
  </si>
  <si>
    <t>ครูสมมาศ พันสาง</t>
  </si>
  <si>
    <t>ครูบุญมี สุขกัญญา</t>
  </si>
  <si>
    <t>ครูนันทน์ณภัทร ท้วมสมบูรณ์</t>
  </si>
  <si>
    <t>รร.อนุบาลบ้านแพ้ว</t>
  </si>
  <si>
    <t>โรงเรียนวัดพลวง (พุทธบทประชาสรรค์)</t>
  </si>
  <si>
    <t>โรงเรียอนุบาลบ้านแพ้ว (วันครู ๒๕๐๐)</t>
  </si>
  <si>
    <t xml:space="preserve"> จ.สมุทรสาคร</t>
  </si>
  <si>
    <t>https://www.youtube.com/watch?v=Wi49qY-93yo</t>
  </si>
  <si>
    <t>https://www.youtube.com/watch?v=vY3VOmTe1og</t>
  </si>
  <si>
    <t>https://www.youtube.com/watch?v=7ti6QcA_YOw</t>
  </si>
  <si>
    <t>https://www.youtube.com/watch?v=y515DPiG10E</t>
  </si>
  <si>
    <t>https://www.youtube.com/watch?v=pVGIDw3U_Ac</t>
  </si>
  <si>
    <t>https://www.youtube.com/watch?v=Gxf_LGhDITY</t>
  </si>
  <si>
    <t>https://www.youtube.com/watch?v=cpT1_1fG7m4</t>
  </si>
  <si>
    <t>https://www.youtube.com/watch?v=X-7cutzvub8</t>
  </si>
  <si>
    <t>https://www.youtube.com/watch?v=PaJq1y6PIiE</t>
  </si>
  <si>
    <t>https://www.youtube.com/watch?v=1N9p4XzRlGQ</t>
  </si>
  <si>
    <t>https://www.youtube.com/watch?v=hQhyTSPwBQY</t>
  </si>
  <si>
    <t>https://www.youtube.com/watch?v=Lcs8SvGJY9s</t>
  </si>
  <si>
    <t>https://www.youtube.com/watch?v=gt9yNLToDJ8</t>
  </si>
  <si>
    <t>https://www.youtube.com/watch?v=V2MXgrXvRTw</t>
  </si>
  <si>
    <t>https://www.youtube.com/watch?v=MU_ZNqBSL_A</t>
  </si>
  <si>
    <t>https://www.youtube.com/watch?v=od08aeD-tqw</t>
  </si>
  <si>
    <t>https://www.youtube.com/watch?v=uM-Z_1vzAyE</t>
  </si>
  <si>
    <t>https://www.youtube.com/watch?v=9APN5YdAPy8</t>
  </si>
  <si>
    <t>https://www.youtube.com/watch?v=syL1B79b7U0</t>
  </si>
  <si>
    <t>https://www.youtube.com/watch?v=dAfUGhq2aWo</t>
  </si>
  <si>
    <t>https://www.youtube.com/watch?v=IjBzfiVVnmA</t>
  </si>
  <si>
    <t>https://www.youtube.com/watch?v=F1bEA1c2enQ</t>
  </si>
  <si>
    <t>https://www.youtube.com/watch?v=QstROEk3n3w</t>
  </si>
  <si>
    <t>๐</t>
  </si>
  <si>
    <t>ภาษาต่างประเทศ (ภาษาอังกฤษ)</t>
  </si>
  <si>
    <t>คำที่แสดงช่วงเวลาในอดีต ปัจจุบันและอนาคต ตอน 2</t>
  </si>
  <si>
    <t>ต 1.2</t>
  </si>
  <si>
    <t>ต 1.1, 1.2</t>
  </si>
  <si>
    <t>วัน/เหตุการณ์สำคัญที่ปรากฏ
ในปฏิทินทั้งอดีตและปัจจุบัน 
ตอน 2</t>
  </si>
  <si>
    <t>Hello</t>
  </si>
  <si>
    <t>How old are you?</t>
  </si>
  <si>
    <t>Color</t>
  </si>
  <si>
    <t>Seven Days</t>
  </si>
  <si>
    <t>Family</t>
  </si>
  <si>
    <t>Prepositions</t>
  </si>
  <si>
    <t>Occupations</t>
  </si>
  <si>
    <t>Places</t>
  </si>
  <si>
    <t>There is / There are</t>
  </si>
  <si>
    <t>My Body</t>
  </si>
  <si>
    <t>Sports</t>
  </si>
  <si>
    <t>Go to School</t>
  </si>
  <si>
    <t>Colours ตอนที่ 1</t>
  </si>
  <si>
    <t>Colours ตอนที่ 2</t>
  </si>
  <si>
    <t>นงเยาว์ ลือขจร</t>
  </si>
  <si>
    <t>การใช้คำบอกช่วงเวลา ตอน 1</t>
  </si>
  <si>
    <t>การใช้คำบอกช่วงเวลา ตอน 2</t>
  </si>
  <si>
    <t>การใช้เส้นบอกเวลา (Timeline) ลำดับเหตุการณ์ที่เกิดขึ้นได้ ตอน 1</t>
  </si>
  <si>
    <t>ครูพูนสิน ลิมปนะพฤกษ์</t>
  </si>
  <si>
    <t>การใช้เส้นบอกเวลา (Timeline) ลำดับเหตุการณ์ที่เกิดขึ้นได้ ตอน 2</t>
  </si>
  <si>
    <t>ครูธิดารัตน์ สารรัตน์</t>
  </si>
  <si>
    <t>วิธีการสืบค้นข้อมูลอย่างง่ายเกี่ยวกับชุมชน ตอน 1</t>
  </si>
  <si>
    <t>วิธีการสืบค้นข้อมูลอย่างง่ายเกี่ยวกับชุมชน ตอน 2</t>
  </si>
  <si>
    <t>ครูรัชดาวัลย์ ศรีวรกุล</t>
  </si>
  <si>
    <t>วิถีชีวิตของคนในชุมชน ตอน 1</t>
  </si>
  <si>
    <t>ครูจันทร์ดี ทองสุขดี</t>
  </si>
  <si>
    <t>วิถีชีวิตของคนในชุมชน ตอน 2</t>
  </si>
  <si>
    <t>สาเหตุของการเปลี่ยนแปลง
วิถีชีวิตของคนในชุมชน ตอน 1</t>
  </si>
  <si>
    <t>ครูอัญชลี ศรีจุลฮาต</t>
  </si>
  <si>
    <t>สาเหตุของการเปลี่ยนแปลง
วิถีชีวิตของคนในชุมชน ตอน 2</t>
  </si>
  <si>
    <t>การเปลี่ยนแปลงวิถีชีวิตของคนในชุมชนด้านต่าง ๆ</t>
  </si>
  <si>
    <t>ผลกระทบของ
การเปลี่ยนแปลง
ที่มีต่อวิถีชีวิตของคนในชุมชน</t>
  </si>
  <si>
    <t>สิ่งแวดล้อมทางธรรมชาติและทางสังคม ตอนที่ 2</t>
  </si>
  <si>
    <t>สิ่งแวดล้อมทางธรรมชาติและทางสังคม ตอนที่ 3</t>
  </si>
  <si>
    <t>รร.วัดดารา</t>
  </si>
  <si>
    <t>สิ่งแวดล้อมทางธรรมชาติและทางสังคม ตอนที่ 4</t>
  </si>
  <si>
    <t>สิ่งแวดล้อมทางธรรมชาติและทางสังคม ตอนที่ 5</t>
  </si>
  <si>
    <t>โรงเรียนอัสสัมชัญ ธนบุรี</t>
  </si>
  <si>
    <t>โรงเรียนวิชากร</t>
  </si>
  <si>
    <t>จรรยา  ใจดีเจริญ</t>
  </si>
  <si>
    <t>โรงเรียนอัสสัมชัญ แผนกประถม</t>
  </si>
  <si>
    <t>ศิริพร หวังวัฒนา</t>
  </si>
  <si>
    <t>ครูชุติญา บุญอุปถัมภ์</t>
  </si>
  <si>
    <t>https://www.youtube.com/watch?v=rv2vywq_pog</t>
  </si>
  <si>
    <t>ครูจรรยา ใจดีเจริญ</t>
  </si>
  <si>
    <t>https://www.youtube.com/watch?v=gOJh0e3PtIw</t>
  </si>
  <si>
    <t>https://www.youtube.com/watch?v=_L42u47v41c</t>
  </si>
  <si>
    <t>https://www.youtube.com/watch?v=mDnkrxDQYMs</t>
  </si>
  <si>
    <t>https://www.youtube.com/watch?v=K-cJn-h39sU</t>
  </si>
  <si>
    <t>https://www.youtube.com/watch?v=1H6UC9E4qyk</t>
  </si>
  <si>
    <t>https://www.youtube.com/watch?v=gyCk0GBlJOk</t>
  </si>
  <si>
    <t>https://www.youtube.com/watch?v=4o-kqxKPLyY</t>
  </si>
  <si>
    <t>https://www.youtube.com/watch?v=bJjp2TzrmwQ</t>
  </si>
  <si>
    <t>https://www.youtube.com/watch?v=-TGKxUtsapM</t>
  </si>
  <si>
    <t>https://www.youtube.com/watch?v=ZujI2IniiN0</t>
  </si>
  <si>
    <t>https://www.youtube.com/watch?v=nSrn0NQ-sqU</t>
  </si>
  <si>
    <t>https://www.youtube.com/watch?v=TyYgKTb0dNM</t>
  </si>
  <si>
    <t>https://www.youtube.com/watch?v=fZi6DJYiGiQ</t>
  </si>
  <si>
    <t>https://www.youtube.com/watch?v=BzvMd2vhnwo</t>
  </si>
  <si>
    <t>https://www.youtube.com/watch?v=K4fHwfzsxpw</t>
  </si>
  <si>
    <t>https://www.youtube.com/watch?v=Y3zyVuSGGwg</t>
  </si>
  <si>
    <t>https://www.youtube.com/watch?v=INX0j-0u6bg</t>
  </si>
  <si>
    <t>https://www.youtube.com/watch?v=7C1VfIPvIkU</t>
  </si>
  <si>
    <t>https://www.youtube.com/watch?v=Ieo4HhCOg3s</t>
  </si>
  <si>
    <t>https://www.youtube.com/watch?v=63Xwv3F90Sw</t>
  </si>
  <si>
    <t>https://www.youtube.com/watch?v=5Jq_v3Gwbno</t>
  </si>
  <si>
    <t>https://www.youtube.com/watch?v=EAfSkHFaOEU</t>
  </si>
  <si>
    <t>https://www.youtube.com/watch?v=FpotkbosXMY</t>
  </si>
  <si>
    <t>https://www.youtube.com/watch?v=Tb624UGPdao</t>
  </si>
  <si>
    <t>https://www.youtube.com/watch?v=nhVYzwB6mC0</t>
  </si>
  <si>
    <t>https://www.youtube.com/watch?v=_zUx31Jm7ZI</t>
  </si>
  <si>
    <t>https://www.youtube.com/watch?v=_dgLpiPZOEg</t>
  </si>
  <si>
    <t>https://www.youtube.com/watch?v=vmWUzoHOPLM</t>
  </si>
  <si>
    <t>https://www.youtube.com/watch?v=iB61pKhTaH8</t>
  </si>
  <si>
    <t>https://www.youtube.com/watch?v=HNUf3XqdLxo</t>
  </si>
  <si>
    <t>https://www.youtube.com/watch?v=yR4TR40mQtA</t>
  </si>
  <si>
    <t>https://www.youtube.com/watch?v=jdkvhiYV8Vs</t>
  </si>
  <si>
    <t>https://www.youtube.com/watch?v=XHS7AzEG8pI</t>
  </si>
  <si>
    <t>https://www.youtube.com/watch?v=NJXVqvf4iUQ</t>
  </si>
  <si>
    <t>https://www.youtube.com/watch?v=qh74U1m6380</t>
  </si>
  <si>
    <t>https://www.youtube.com/watch?v=-Wkto3QNB3k</t>
  </si>
  <si>
    <t>https://www.youtube.com/watch?v=6CZr43aRVBQ</t>
  </si>
  <si>
    <t>27</t>
  </si>
  <si>
    <t>28</t>
  </si>
  <si>
    <t>29</t>
  </si>
  <si>
    <t>ต 1.1, 2.2</t>
  </si>
  <si>
    <t>Phonics letter sound /s/</t>
  </si>
  <si>
    <t>Phonics letter sound /a/</t>
  </si>
  <si>
    <t>Phonics letter sound /t/</t>
  </si>
  <si>
    <t>Phonics letter sound /i/</t>
  </si>
  <si>
    <t>CVC words with /s/ /a/ /t/ /i/ sounds</t>
  </si>
  <si>
    <t>Phonics letter sound /p/</t>
  </si>
  <si>
    <t>Phonics letter sound /n/</t>
  </si>
  <si>
    <t>CVC words with /s/ /a/ /t/ /i/ /p/ /n/</t>
  </si>
  <si>
    <t>Phonics letter sounds /c/ /k/</t>
  </si>
  <si>
    <t>Phonics letter sounds /e/</t>
  </si>
  <si>
    <t>Phonics letter sounds /h/</t>
  </si>
  <si>
    <t>Phonics letter sounds from set 1 and /c/ /k/ /e/ and /h/</t>
  </si>
  <si>
    <t>Phonics letter sounds /r/</t>
  </si>
  <si>
    <t>Phonics letter sounds /m/</t>
  </si>
  <si>
    <t>Phonics letter sounds /d/</t>
  </si>
  <si>
    <t>Mr.Luis Manual C.Pascual  ครูนฤทัย คำเทพ</t>
  </si>
  <si>
    <t>โรงเรียนปรินส์รอยแยลส์วิทยาลัย</t>
  </si>
  <si>
    <t>https://www.youtube.com/watch?v=lkTJT7Dp62w</t>
  </si>
  <si>
    <t>https://www.youtube.com/watch?v=Tw8Eg7dodls</t>
  </si>
  <si>
    <t xml:space="preserve">ส 3.2 </t>
  </si>
  <si>
    <t>https://www.youtube.com/watch?v=Z1-2yy_3zYg</t>
  </si>
  <si>
    <t>https://www.youtube.com/watch?v=keDgeHgmqf0</t>
  </si>
  <si>
    <t>https://www.youtube.com/watch?v=TeOfxyuxYVY</t>
  </si>
  <si>
    <t>https://www.youtube.com/watch?v=ZjcsH_58gwg</t>
  </si>
  <si>
    <t>https://www.youtube.com/watch?v=0auqbMB1dcI</t>
  </si>
  <si>
    <t>https://www.youtube.com/watch?v=znGe8WmjBwU</t>
  </si>
  <si>
    <t>https://www.youtube.com/watch?v=6ra4vz0gT3M</t>
  </si>
  <si>
    <t>https://www.youtube.com/watch?v=TzZVroscDYE</t>
  </si>
  <si>
    <t>https://www.youtube.com/watch?v=qs7NXqA7WfA</t>
  </si>
  <si>
    <t>วันหยุดราชการเกี่ยวกับชาติและพระมหากษัตริย์ ตอน 1</t>
  </si>
  <si>
    <t>วันหยุดราชการเกี่ยวกับชาติและพระมหากษัตริย์ ตอน 2</t>
  </si>
  <si>
    <t>ความหมายของประเพณีและวัฒนธรรมไทย</t>
  </si>
  <si>
    <t>https://www.youtube.com/watch?v=GF__Z6E-iJU</t>
  </si>
  <si>
    <t>ความสำคัญของประเพณีและวัฒนธรรมไทย</t>
  </si>
  <si>
    <t>ประเพณีและวัฒนธรรมที่ดีในครอบครัว</t>
  </si>
  <si>
    <t>ประเพณีและวัฒนธรรมที่ดีในท้องถิ่น</t>
  </si>
  <si>
    <t>https://www.youtube.com/watch?v=u8zqyzPGJxY</t>
  </si>
  <si>
    <t>การเข้าร่วมประเพณีที่เกี่ยวข้องกับการดำเนินชีวิต</t>
  </si>
  <si>
    <t>การดำเนินชีวิตของตนเองและผู้อื่นในกระแสวัฒนธรรมที่หลากหลาย</t>
  </si>
  <si>
    <t>ประโยชน์ของการปฏิบัติตนตามประเพณีและวัฒนธรรมไทย</t>
  </si>
  <si>
    <t>ประโยชน์ที่ทำให้พฤติกรรมการดำเนินชีวิตมีความแตกต่างกัน</t>
  </si>
  <si>
    <t>บุคคลที่มีผลงานเป็นประโยชน์แก่ชุมชนและท้องถิ่นของตน ตอนที่ 1</t>
  </si>
  <si>
    <t>บุคคลที่มีผลงานเป็นประโยชน์แก่ชุมชนและท้องถิ่นของตน ตอนที่ 2</t>
  </si>
  <si>
    <t>สินค้าและบริการในชีวิต    ประจำวัน ตอน 1</t>
  </si>
  <si>
    <t>สินค้าและบริการในชีวิต    ประจำวัน ตอน 2</t>
  </si>
  <si>
    <t>https://www.youtube.com/watch?v=O1ZDd0EyCtM</t>
  </si>
  <si>
    <t>การมีส่วนร่วมของชุมชนในระบอบประชาธิปไตย ตอน 1</t>
  </si>
  <si>
    <t>การมีส่วนร่วมของชุมชนในระบอบประชาธิปไตย ตอน 2</t>
  </si>
  <si>
    <t>ภาษี</t>
  </si>
  <si>
    <t>การแข่งขันทางการตลาด</t>
  </si>
  <si>
    <t>ทรัพยากรทางเศรษฐศาสตร์</t>
  </si>
  <si>
    <t>เมืองและชนบท</t>
  </si>
  <si>
    <t>https://www.youtube.com/watch?v=PU8x2fpSrWw</t>
  </si>
  <si>
    <t>วราภรณ์ ศุภฐิติพงศ์</t>
  </si>
  <si>
    <t>ชุติญา บุญอุปถัมภ์</t>
  </si>
  <si>
    <t>สมหมาย กิจเกียรติ</t>
  </si>
  <si>
    <t>ทิวา เมืองหลวง</t>
  </si>
  <si>
    <t>หทัยรัตน์ ภัทรมานิต</t>
  </si>
  <si>
    <t>รร.อนุบาลเชียงราย</t>
  </si>
  <si>
    <t xml:space="preserve"> รร. วัดคูยาง</t>
  </si>
  <si>
    <t>รร.บ้านวังชะโอน</t>
  </si>
  <si>
    <t xml:space="preserve">โรงเรียนอนุบาลสามเสน (สำนักงานสลากกินแบ่ง   รัฐบาลอุปถัมภ์) </t>
  </si>
  <si>
    <t>30</t>
  </si>
  <si>
    <t>31</t>
  </si>
  <si>
    <t>32</t>
  </si>
  <si>
    <t>33</t>
  </si>
  <si>
    <t>34</t>
  </si>
  <si>
    <t>เชียงราย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</si>
  <si>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</si>
  <si>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</si>
  <si>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</si>
  <si>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</si>
  <si>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</si>
  <si>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</si>
  <si>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</si>
  <si>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</si>
  <si>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</si>
  <si>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</si>
  <si>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https://www.youtube.com/watch?v=s9h6K_7-w8I</t>
  </si>
  <si>
    <t>ต 1.1, 2.1</t>
  </si>
  <si>
    <t>ต 1.1, 2.0</t>
  </si>
  <si>
    <t>Phonics letter sounds from set 1 and set 2</t>
  </si>
  <si>
    <t>Phonics vowel sounds /a/ /e/ and /i/</t>
  </si>
  <si>
    <t>Phonics letter sounds /g/</t>
  </si>
  <si>
    <t>Phonics letter sounds /o/</t>
  </si>
  <si>
    <t>Phonics letter sounds /u/</t>
  </si>
  <si>
    <t>Phonics letter sounds from set 1,2 and /g/ /o/ and /u/</t>
  </si>
  <si>
    <t xml:space="preserve">Phonics letter sounds /l/ </t>
  </si>
  <si>
    <t xml:space="preserve">Phonics letter sounds /f/ </t>
  </si>
  <si>
    <t xml:space="preserve">Phonics letter sounds /b/ </t>
  </si>
  <si>
    <t>Phonics letter sounds from set 1,2 and 3</t>
  </si>
  <si>
    <t>Phonics letter sounds /ai/</t>
  </si>
  <si>
    <t>Phonics letter sounds /j/</t>
  </si>
  <si>
    <t>Phonics letter sounds /oa/</t>
  </si>
  <si>
    <t>Phonics letter sounds from set 1,2,3 /j/ /ai/ and /oa/</t>
  </si>
  <si>
    <t>Phonics letter sounds /ie/</t>
  </si>
  <si>
    <t>https://www.youtube.com/watch?v=AY5L2I_2sYM</t>
  </si>
  <si>
    <t>https://www.youtube.com/watch?v=ZizIQztvO9c</t>
  </si>
  <si>
    <t>https://www.youtube.com/watch?v=Qg0gT9xzWns</t>
  </si>
  <si>
    <t>https://www.youtube.com/watch?v=F-wlfwhMbk4</t>
  </si>
  <si>
    <t>https://www.youtube.com/watch?v=lwvuxXhMEMQ</t>
  </si>
  <si>
    <t>https://www.youtube.com/watch?v=gxLsH-CUArc</t>
  </si>
  <si>
    <t>https://www.youtube.com/watch?v=olTjgc4eA2I</t>
  </si>
  <si>
    <t>https://www.youtube.com/watch?v=AuRdGAGi3SI</t>
  </si>
  <si>
    <t>https://www.youtube.com/watch?v=_r6zQCR1DiY</t>
  </si>
  <si>
    <t>https://www.youtube.com/watch?v=iluEatljwV4</t>
  </si>
  <si>
    <t>https://www.youtube.com/watch?v=w-3253LjVxU</t>
  </si>
  <si>
    <t>https://www.youtube.com/watch?v=nFIsvERaxyg</t>
  </si>
  <si>
    <t>https://www.youtube.com/watch?v=-QqGcDIUBPc</t>
  </si>
  <si>
    <t>https://www.youtube.com/watch?v=obdT_vFnxtM</t>
  </si>
  <si>
    <t>https://www.youtube.com/watch?v=evMvvkjcWpM</t>
  </si>
  <si>
    <t>https://www.youtube.com/watch?v=fg3PBPMQ2e4</t>
  </si>
  <si>
    <t>https://www.youtube.com/watch?v=nbAFmQTIgsQ</t>
  </si>
  <si>
    <t>https://www.youtube.com/watch?v=AOilhoLfd9w</t>
  </si>
  <si>
    <t>https://www.youtube.com/watch?v=OUdGlv8r3fE</t>
  </si>
  <si>
    <t>https://www.youtube.com/watch?v=72_NpzjMx0k</t>
  </si>
  <si>
    <t>https://www.youtube.com/watch?v=MAF0ZO1LMOQ</t>
  </si>
  <si>
    <t>https://www.youtube.com/watch?v=QNncPUaV6Qs</t>
  </si>
  <si>
    <t>https://www.youtube.com/watch?v=SCPe_uB60YY</t>
  </si>
  <si>
    <t>https://www.youtube.com/watch?v=n2WIrPyXEEo</t>
  </si>
  <si>
    <t>https://www.youtube.com/watch?v=Q9qXIprHwt0</t>
  </si>
  <si>
    <t>https://www.youtube.com/watch?v=oajxnJL16S4</t>
  </si>
  <si>
    <t>https://www.youtube.com/watch?v=QHhkB1n5aao</t>
  </si>
  <si>
    <t>https://www.youtube.com/watch?v=cCZ36P34A3o</t>
  </si>
  <si>
    <t>https://www.youtube.com/watch?v=x6bS7-0FJpg</t>
  </si>
  <si>
    <t>https://www.youtube.com/watch?v=ReCbDVCGsfo</t>
  </si>
  <si>
    <t>https://www.youtube.com/watch?v=yIAdg5qlhT8</t>
  </si>
  <si>
    <t>https://www.youtube.com/watch?v=v-N7Lr06ugg</t>
  </si>
  <si>
    <t>https://www.youtube.com/watch?v=-krubd5Hrbo</t>
  </si>
  <si>
    <t>https://www.youtube.com/watch?v=r2uAb_CMBRs</t>
  </si>
  <si>
    <t>https://www.youtube.com/watch?v=zaZ3dVK_sqs</t>
  </si>
  <si>
    <t>https://www.youtube.com/watch?v=bU6xveT_oIE</t>
  </si>
  <si>
    <t>ต 1.1, 1.2, 1.3</t>
  </si>
  <si>
    <t>Greeting</t>
  </si>
  <si>
    <t>School Day</t>
  </si>
  <si>
    <t>It's Green</t>
  </si>
  <si>
    <t>Food and Drinks</t>
  </si>
  <si>
    <t>What's that?</t>
  </si>
  <si>
    <t>Where's the Teddy Bear?</t>
  </si>
  <si>
    <t>Can</t>
  </si>
  <si>
    <t>Occupations ตอน 1</t>
  </si>
  <si>
    <t>Occupations ตอน 2</t>
  </si>
  <si>
    <t>coming soon!</t>
  </si>
  <si>
    <t>วัลภา ข้องเกี่ยวพันธ์</t>
  </si>
  <si>
    <t>อาจารย์ธัญลักษณ์ ศิริรัตนสุคนธ์</t>
  </si>
  <si>
    <t>ครูปรียารัตน์ คนหลัก</t>
  </si>
  <si>
    <t>รร.วัดป่าพระเจ้า</t>
  </si>
  <si>
    <t>โรงเรียนสาธิตจุฬาลงกรณ์มหาวิทยาลัย ฝ่ายประถม</t>
  </si>
  <si>
    <t>https://www.youtube.com/watch?v=RMiYzOKJJE4</t>
  </si>
  <si>
    <t>https://www.youtube.com/watch?v=cOUA_FR62Vc</t>
  </si>
  <si>
    <t>https://www.youtube.com/watch?v=cS6qcnVR1Yw</t>
  </si>
  <si>
    <t>https://www.youtube.com/watch?v=RWfkExY3C0Q</t>
  </si>
  <si>
    <t>https://www.youtube.com/watch?v=52dD6jcJNIs</t>
  </si>
  <si>
    <t>https://www.youtube.com/watch?v=EKE8GNpL7Hc</t>
  </si>
  <si>
    <t>https://www.youtube.com/watch?v=_8J29bxIdlY</t>
  </si>
  <si>
    <t>https://www.youtube.com/watch?v=PzoItwhHr4c</t>
  </si>
  <si>
    <t>https://www.youtube.com/watch?v=rfKWA5kS_1A</t>
  </si>
  <si>
    <t>ส 2.2</t>
  </si>
  <si>
    <t>กุฏิทูสกชาดก, มหาอุกกุสชาดก</t>
  </si>
  <si>
    <t>My Classroom</t>
  </si>
  <si>
    <t>Transportation</t>
  </si>
  <si>
    <t>Clothes</t>
  </si>
  <si>
    <t>Times in a day</t>
  </si>
  <si>
    <t>Animals</t>
  </si>
  <si>
    <t>What's Your Favourite Subject?</t>
  </si>
  <si>
    <t>Like and Dislike</t>
  </si>
  <si>
    <t>การเป็นผู้นำและผุ้ตามที่ดี</t>
  </si>
  <si>
    <t>Feelings</t>
  </si>
  <si>
    <t>สิทธิพื้นฐานของเด็ก</t>
  </si>
  <si>
    <t>My Friends</t>
  </si>
  <si>
    <t>วิธีการอยู่ร่วมกัน
อย่างสันติสุขในชีวิตประจำวัน</t>
  </si>
  <si>
    <t>My House</t>
  </si>
  <si>
    <t>Past Continuous Tense</t>
  </si>
  <si>
    <t>อำนาจอธิปไตยและความสำคัญของการปกครองตามระบอบประชาธิปไตย</t>
  </si>
  <si>
    <t>กระบวนการเลือกตั้งในระบอบ การปกครองแบบประชาธิปไตย อันมีพระมหากษัตริย์ทรง เป็นประมุข</t>
  </si>
  <si>
    <t>หลักปรัชญาเศรษฐกิจพอเพียง</t>
  </si>
  <si>
    <t>เศรษฐกิจพอเพียง       กับการดำรงชีวิต</t>
  </si>
  <si>
    <t>อาชีพ สินค้า และบริการในชุมชน</t>
  </si>
  <si>
    <t>ปัจจัยที่ส่งผลต่อการเลือกซื้อ      สินค้าและบริการ</t>
  </si>
  <si>
    <t>ครูออมสิน จตุพร</t>
  </si>
  <si>
    <t>การพึ่งพาอาศัยกันภายใน     ชุมชนทางด้านเศรษฐกิจ</t>
  </si>
  <si>
    <t>พัฒนาการของมนุษย์
ยุคก่อนประวัติศาสตร์
และยุคประวัติศาสตร์
ในดินแดนไทย</t>
  </si>
  <si>
    <t>การตั้งหลักแหล่งของมนุษย์ยุคสมัยประวัติศาสตร์</t>
  </si>
  <si>
    <t>ครูวีรวรรณ สุขสบาย</t>
  </si>
  <si>
    <t>หลักฐานทางประวัติศาสตร์ที่พบในท้องถิ่น</t>
  </si>
  <si>
    <t>ครูอนงค์พร ชัยสุข</t>
  </si>
  <si>
    <t>ความเป็นพลเมืองดี ของสังคมไทย</t>
  </si>
  <si>
    <t>ความหมายและหน้าที่ของเงิน</t>
  </si>
  <si>
    <t>ความหมายและช่วงเวลาของ   ทศวรรษ ศตวรรษ   และสหัสวรรษ</t>
  </si>
  <si>
    <t>ครูรัดเกล้า อุปสิทธิ์</t>
  </si>
  <si>
    <t>เครื่องหมายรับรองคุณภาพ</t>
  </si>
  <si>
    <t>ปัจจัยที่ทำให้เกิดการเปลี่ยน     แปลงของสภาวะแวดล้อม</t>
  </si>
  <si>
    <t>ครูพรพิมล นิตสนธิ</t>
  </si>
  <si>
    <t>พรรณวดี แสนบัลลังก์เพชร</t>
  </si>
  <si>
    <t>โรงเรียนวัดหัวดงเหนือ (บรรพตานุสรณ์)</t>
  </si>
  <si>
    <t>ไพเราะ คงเจริญ</t>
  </si>
  <si>
    <t>สุทีป ช่วยเหลือ</t>
  </si>
  <si>
    <t>โรงเรียนวัดควนวิเศษ</t>
  </si>
  <si>
    <t>สมบัติ ศิลปัญจะ</t>
  </si>
  <si>
    <t>ครูเรณู แสงเงินอ่อน</t>
  </si>
  <si>
    <t>ครูไพเราะ คงเจริญ</t>
  </si>
  <si>
    <t>รัตนาภรณ์ จันทร์พรม</t>
  </si>
  <si>
    <t>จ.นครสวรรค์</t>
  </si>
  <si>
    <t xml:space="preserve"> รร.บ้านหนองนายขุ้ย</t>
  </si>
  <si>
    <t xml:space="preserve"> รร.วัดนาค</t>
  </si>
  <si>
    <t>https://www.youtube.com/watch?v=L6FjKULGB9w</t>
  </si>
  <si>
    <t>รร.อนุบาลสามเสนฯ</t>
  </si>
  <si>
    <t>https://www.youtube.com/watch?v=gr2hdrCPDow</t>
  </si>
  <si>
    <t>อยุธยา</t>
  </si>
  <si>
    <t>https://www.youtube.com/watch?v=Vq6YKEMRTeQ</t>
  </si>
  <si>
    <t>https://www.youtube.com/watch?v=bzmCi6nCd18</t>
  </si>
  <si>
    <t>https://www.youtube.com/watch?v=OaADCs5kldQ</t>
  </si>
  <si>
    <t>https://www.youtube.com/watch?v=6XsBNhUYedQ</t>
  </si>
  <si>
    <t>https://www.youtube.com/watch?v=XNabLiCIgnc</t>
  </si>
  <si>
    <t>https://www.youtube.com/watch?v=Y2d-dF5AKsw</t>
  </si>
  <si>
    <t>https://www.youtube.com/watch?v=p8y9t-nXRbk</t>
  </si>
  <si>
    <t>https://www.youtube.com/watch?v=NWZYOlQwPi4</t>
  </si>
  <si>
    <t>https://www.youtube.com/watch?v=LMa5XMDeV-c</t>
  </si>
  <si>
    <t>https://www.youtube.com/watch?v=oICNOFQ8wkc</t>
  </si>
  <si>
    <t>https://www.youtube.com/watch?v=s_ttDDwqMoc</t>
  </si>
  <si>
    <t>https://www.youtube.com/watch?v=_VgzLvdsCgA</t>
  </si>
  <si>
    <t>https://www.youtube.com/watch?v=YbApgZlWY2g</t>
  </si>
  <si>
    <t>https://www.youtube.com/watch?v=NiyDfzJ0S5E</t>
  </si>
  <si>
    <t>https://www.youtube.com/watch?v=WlJiQWxVSCE</t>
  </si>
  <si>
    <t>https://www.youtube.com/watch?v=7AJlRJGgf6g</t>
  </si>
  <si>
    <t>https://www.youtube.com/watch?v=QLxAlSfk3Uk</t>
  </si>
  <si>
    <t>https://www.youtube.com/watch?v=AQhXxf7mwwQ</t>
  </si>
  <si>
    <t>https://www.youtube.com/watch?v=rRA-LJOcoEQ</t>
  </si>
  <si>
    <t>https://www.youtube.com/watch?v=dES7cJNYJJU</t>
  </si>
  <si>
    <t>https://www.youtube.com/watch?v=lMQcnMI_SZU</t>
  </si>
  <si>
    <t>https://www.youtube.com/watch?v=Dz_kky245eo</t>
  </si>
  <si>
    <t>https://www.youtube.com/watch?v=p_gGwLr9krU</t>
  </si>
  <si>
    <t>https://www.youtube.com/watch?v=s03pONIqR34</t>
  </si>
  <si>
    <t>https://www.youtube.com/watch?v=vdt-z10DLgg</t>
  </si>
  <si>
    <t>https://www.youtube.com/watch?v=xSJpR6HiBso</t>
  </si>
  <si>
    <t>https://www.youtube.com/watch?v=3IITOqYiAWU</t>
  </si>
  <si>
    <t>https://www.youtube.com/watch?v=sZ2C_qZMo_U</t>
  </si>
  <si>
    <t>https://www.youtube.com/watch?v=uE61Ys4Y0aY</t>
  </si>
  <si>
    <t>https://www.youtube.com/watch?v=VJmL1N2JNg4</t>
  </si>
  <si>
    <t>https://www.youtube.com/watch?v=PX2jqwpWchk</t>
  </si>
  <si>
    <t>My Beautiful House</t>
  </si>
  <si>
    <t>Lovely Animals</t>
  </si>
  <si>
    <t>School Subjects</t>
  </si>
  <si>
    <t>Food and Drink</t>
  </si>
  <si>
    <t>Everyday Life</t>
  </si>
  <si>
    <t>What's the Weather Like?</t>
  </si>
  <si>
    <t>Body Parts</t>
  </si>
  <si>
    <t>Mother's Day</t>
  </si>
  <si>
    <t>At the Local Market</t>
  </si>
  <si>
    <t>Go ASEAN</t>
  </si>
  <si>
    <t xml:space="preserve">Save the Environment </t>
  </si>
  <si>
    <t>Tourist Attractions</t>
  </si>
  <si>
    <t>Loy Kratong Festival</t>
  </si>
  <si>
    <t>Nationalities</t>
  </si>
  <si>
    <t>I Love Sports</t>
  </si>
  <si>
    <t>My Free Time</t>
  </si>
  <si>
    <t>Jobs</t>
  </si>
  <si>
    <t>ครูประทินทิพย์ สสีสองสม</t>
  </si>
  <si>
    <t>ครูเกล็ดทอง ภู่ไพศาล</t>
  </si>
  <si>
    <t>ครูเสาวภาพัชร ภู่ประภาดิลก</t>
  </si>
  <si>
    <t>ครูผุสดี มณีโชติ</t>
  </si>
  <si>
    <t>มิสสุธาทิพ วงษ์บุญมา ครูแสงประทีป วงษ์บุญมา</t>
  </si>
  <si>
    <t>ครูรจนา ราสระคู</t>
  </si>
  <si>
    <t>โรงเรียนบ้านป่าก่อดำ</t>
  </si>
  <si>
    <t>โรงเรียนบ้านฮ่างต่ำ</t>
  </si>
  <si>
    <t>โรงเรียนวัดควนยวน</t>
  </si>
  <si>
    <t>โรงเรียนวัดดอนโพธิ์ทอง</t>
  </si>
  <si>
    <t>https://www.youtube.com/watch?v=Xp8YH0O5kvQ</t>
  </si>
  <si>
    <t>https://www.youtube.com/watch?v=9Rm5s7klKVA</t>
  </si>
  <si>
    <t>https://www.youtube.com/watch?v=7BkoMG1lf9Y</t>
  </si>
  <si>
    <t>https://www.youtube.com/watch?v=MR2FCVXSBpk</t>
  </si>
  <si>
    <t>https://www.youtube.com/watch?v=vzru-LHZCTY</t>
  </si>
  <si>
    <t>https://www.youtube.com/watch?v=i3KwvhVmylc</t>
  </si>
  <si>
    <t>https://www.youtube.com/watch?v=GPTdmLw_Qow</t>
  </si>
  <si>
    <t>https://www.youtube.com/watch?v=I0zigvirkiw</t>
  </si>
  <si>
    <t>https://www.youtube.com/watch?v=tmJSORrNdeo</t>
  </si>
  <si>
    <t>https://www.youtube.com/watch?v=Rg73FcP-D_I</t>
  </si>
  <si>
    <t>https://www.youtube.com/watch?v=PU8xi_CBP30</t>
  </si>
  <si>
    <t>https://www.youtube.com/watch?v=Eq_VZljbtXk</t>
  </si>
  <si>
    <t xml:space="preserve">พุทธประวัติ ตอน 2
 </t>
  </si>
  <si>
    <t>มารยาทของศาสนิกชน ตอน 1</t>
  </si>
  <si>
    <t>มารยาทของศาสนิกชน ตอน 2</t>
  </si>
  <si>
    <t>ความสำคัญของ
ภูมิปัญญาท้องถิ่น ตอน 1</t>
  </si>
  <si>
    <t>https://www.youtube.com/watch?v=E8miYFpgvO0</t>
  </si>
  <si>
    <t>ความสำคัญของ
ภูมิปัญญาท้องถิ่น ตอน 2</t>
  </si>
  <si>
    <t>ความสำคัญของ
ภูมิปัญญาท้องถิ่นในกลุ่มประเทศอาเซียน ตอน 1</t>
  </si>
  <si>
    <t>ความสำคัญของ
ภูมิปัญญาท้องถิ่นในกลุ่มประเทศอาเซียน ตอน 2</t>
  </si>
  <si>
    <t>ความสำคัญของ
ภูมิปัญญาท้องถิ่นในกลุ่มประเทศอาเซียน ตอน 3</t>
  </si>
  <si>
    <t>การปกครองส่วนท้องถิ่น บทบาทหน้าที่ 
และความสำคัญ ตอน 1</t>
  </si>
  <si>
    <t>การปกครองส่วนท้องถิ่น บทบาทหน้าที่ 
และความสำคัญ ตอน 2</t>
  </si>
  <si>
    <t>https://www.youtube.com/watch?v=vAVHPZjtpLw</t>
  </si>
  <si>
    <t>การปกครองส่วนท้องถิ่น บทบาทหน้าที่ 
และความสำคัญ ตอน 3</t>
  </si>
  <si>
    <t>วิธีการสืบค้นความเป็นมาของ    ท้องถิ่น (วิธีการทาง
ประวิติศาสตร์) ตอน 1</t>
  </si>
  <si>
    <t>https://www.youtube.com/watch?v=640HQH2I4tc</t>
  </si>
  <si>
    <t>วิธีการสืบค้นความเป็นมาของ    ท้องถิ่น (วิธีการทาง
ประวิติศาสตร์) ตอน 2</t>
  </si>
  <si>
    <t>หลักการทรงงานและหลักปรัชญาของเศรษฐกิจพอเพียง ตอนที่ 1</t>
  </si>
  <si>
    <t>หลักการทรงงานและหลักปรัชญาของเศรษฐกิจพอเพียง ตอนที่ 2</t>
  </si>
  <si>
    <t xml:space="preserve">การเข้ามาของอารยธรรม อินเดียในดินแดนไทย 
 </t>
  </si>
  <si>
    <t>อารยธรรมอินเดียในสังคมไทย</t>
  </si>
  <si>
    <t xml:space="preserve">การเข้ามาของอารยธรรมจีน ในดินแดนไทย 
 </t>
  </si>
  <si>
    <t>อารยธรรมจีนในสังคมไทย</t>
  </si>
  <si>
    <t>https://www.youtube.com/watch?v=eFZ-FpuegXw</t>
  </si>
  <si>
    <t>https://www.youtube.com/watch?v=qj_iDfo1Vv0</t>
  </si>
  <si>
    <t>ครูพรรณวดี แสนบัลลังก์เพชร</t>
  </si>
  <si>
    <t>บังอร วัดพงพี</t>
  </si>
  <si>
    <t>สิริพร พระประเสริฐ</t>
  </si>
  <si>
    <t>รร.มหาวีรานุวัตร</t>
  </si>
  <si>
    <t>https://www.youtube.com/watch?v=8zIFw0DCnAE</t>
  </si>
  <si>
    <t>https://www.youtube.com/watch?v=809JHj4GLqs</t>
  </si>
  <si>
    <t>https://www.youtube.com/watch?v=qMt1he7yuN4</t>
  </si>
  <si>
    <t>https://www.youtube.com/watch?v=L6o27Ww4MhU</t>
  </si>
  <si>
    <t>https://www.youtube.com/watch?v=VI27JfY-IeM</t>
  </si>
  <si>
    <t>https://www.youtube.com/watch?v=t9hgmTrcs6I</t>
  </si>
  <si>
    <t>https://www.youtube.com/watch?v=w16evBqVPdg</t>
  </si>
  <si>
    <t>https://www.youtube.com/watch?v=2wCZjitU-RM</t>
  </si>
  <si>
    <t>https://www.youtube.com/watch?v=asAlNLnviDI</t>
  </si>
  <si>
    <t>https://www.youtube.com/watch?v=ehGCU9L7tX8</t>
  </si>
  <si>
    <t>https://www.youtube.com/watch?v=3VS0Bofcq4w</t>
  </si>
  <si>
    <t>https://www.youtube.com/watch?v=oHVZ-nKwuAI</t>
  </si>
  <si>
    <t>https://www.youtube.com/watch?v=GrJXqpC6OZI</t>
  </si>
  <si>
    <t>https://www.youtube.com/watch?v=cPyPNCGyzqU</t>
  </si>
  <si>
    <t>https://www.youtube.com/watch?v=7vb_v-4AGHU</t>
  </si>
  <si>
    <t>https://www.youtube.com/watch?v=kar80MFpHXI</t>
  </si>
  <si>
    <t>https://www.youtube.com/watch?v=d1htees0O9w</t>
  </si>
  <si>
    <t>https://www.youtube.com/watch?v=sKFWSVd0Cd0</t>
  </si>
  <si>
    <t>https://www.youtube.com/watch?v=rKbkHuVfO60</t>
  </si>
  <si>
    <t>International Food</t>
  </si>
  <si>
    <t>Daily Routines</t>
  </si>
  <si>
    <t>Time</t>
  </si>
  <si>
    <t>Healthy Food</t>
  </si>
  <si>
    <t>Illness</t>
  </si>
  <si>
    <t>My Vacation</t>
  </si>
  <si>
    <t>Loy Kratong Irregular Verbs</t>
  </si>
  <si>
    <t>Shopping</t>
  </si>
  <si>
    <t>Costumes</t>
  </si>
  <si>
    <t>ครูรัตนาภรณ์ ลอสวัสดิ์</t>
  </si>
  <si>
    <t>ครูพัชรี ซาวคำเขตต์</t>
  </si>
  <si>
    <t>ครูปารณี ทุมพร</t>
  </si>
  <si>
    <t>มิสสุธาทิพ วงษ์บุญมา</t>
  </si>
  <si>
    <t>ครูณัฐพร สายศร</t>
  </si>
  <si>
    <t>ครูคนึงนิจ รุ่งโรจน์</t>
  </si>
  <si>
    <t>โรงเรียนบ้านห้วยบง</t>
  </si>
  <si>
    <t>โรงเรียนชุมชนบ้านสันจำปา</t>
  </si>
  <si>
    <t>โรงเรียนอนุบาลวัดคลองใหญ่</t>
  </si>
  <si>
    <t>จ.ตราด</t>
  </si>
  <si>
    <t>https://www.youtube.com/watch?v=8Dv6-N_ha-8</t>
  </si>
  <si>
    <t>https://www.youtube.com/watch?v=WBOiWzwH19s</t>
  </si>
  <si>
    <t>https://www.youtube.com/watch?v=ngNAVB_IwEk</t>
  </si>
  <si>
    <t>https://www.youtube.com/watch?v=P2MsWqHVN6E</t>
  </si>
  <si>
    <t>https://www.youtube.com/watch?v=yWDJDshvm8c</t>
  </si>
  <si>
    <t>https://www.youtube.com/watch?v=P-XAOB9xYIQ</t>
  </si>
  <si>
    <t>https://www.youtube.com/watch?v=lBam9WYqgNw</t>
  </si>
  <si>
    <t>https://www.youtube.com/watch?v=VwVwpuO9dEo</t>
  </si>
  <si>
    <t>https://www.youtube.com/watch?v=_qeHzPKxOqc</t>
  </si>
  <si>
    <t>https://www.youtube.com/watch?v=SKaLqF-hYaE</t>
  </si>
  <si>
    <t>https://www.youtube.com/watch?v=v2GreC-Ad4Q</t>
  </si>
  <si>
    <t>https://www.youtube.com/watch?v=7FSWZiQgr-I</t>
  </si>
  <si>
    <t>ส 2.3</t>
  </si>
  <si>
    <t>การทำความดี</t>
  </si>
  <si>
    <t>ความสำคัญของศาสนพิธี และพิธีกรรมของศาสนาอื่น ๆ ตอน 1</t>
  </si>
  <si>
    <t>ความสำคัญของศาสนพิธี และพิธีกรรมของศาสนาอื่น ๆ ตอน 2</t>
  </si>
  <si>
    <t>หลักธรรมที่สำคัญ
ของศาสนาอื่น ๆ ตอน 1</t>
  </si>
  <si>
    <t>หลักธรรมที่สำคัญ
ของศาสนาอื่น ๆ ตอน 2</t>
  </si>
  <si>
    <t>การบริหารจิตเจริญปัญญา ตอน 1</t>
  </si>
  <si>
    <t>การบริหารจิตเจริญปัญญา ตอน 2</t>
  </si>
  <si>
    <t>การเข้าร่วมและปฏิบัติตนในวันสำคัญทางพระพุทธศาสนา</t>
  </si>
  <si>
    <t xml:space="preserve"> วิเคราะห์การเปลี่ยนแปลง     วัฒนธรรม</t>
  </si>
  <si>
    <t>อธิบายคุณค่าทางวัฒนธรรม
ที่แตกต่างกัน ตอน 1</t>
  </si>
  <si>
    <t>อธิบายคุณค่าทางวัฒนธรรม
ที่แตกต่างกัน ตอน 2</t>
  </si>
  <si>
    <t>บทบาทหน้าที่ของรัฐบาล</t>
  </si>
  <si>
    <t>บทบาทหน้าที่ขององค์กร      ปกครองส่วนท้องถิ่น</t>
  </si>
  <si>
    <t>การส่งเสริมประชาธิปไตย      ในท้องถิ่น</t>
  </si>
  <si>
    <t>การใช้สิทธิออกเสียงเลือกตั้ง</t>
  </si>
  <si>
    <t>ประเทศเพื่อนบ้านที่มีอาณาเขต
ติดต่อกับประเทศไทย 
ตอน 1</t>
  </si>
  <si>
    <t>ประเทศเพื่อนบ้านที่มีอาณาเขต
ติดต่อกับประเทศไทย 
ตอน 2</t>
  </si>
  <si>
    <t>อาเซียน ตอน 1</t>
  </si>
  <si>
    <t>อาเซียน ตอน 2</t>
  </si>
  <si>
    <t>ปานทิพย์ ดอนขันไพร</t>
  </si>
  <si>
    <t>อนุวัฒิ ศรีสระน้อย</t>
  </si>
  <si>
    <t xml:space="preserve">เบญจวรรณ แพงมา
</t>
  </si>
  <si>
    <t xml:space="preserve">นิตยา แก้วกันยา
</t>
  </si>
  <si>
    <t>ครูปฐมาวดี มูลสา</t>
  </si>
  <si>
    <t>ครูมาลี  โต๊ะถม</t>
  </si>
  <si>
    <t>รร.วัดสระสี่มุม</t>
  </si>
  <si>
    <t>รร.วัดสระแก้ว</t>
  </si>
  <si>
    <t>โรงเรียนอนุบาลสมุทรสาคร</t>
  </si>
  <si>
    <t xml:space="preserve">โรงเรียนบ้านเกาะน้ำโจน </t>
  </si>
  <si>
    <t>https://www.youtube.com/watch?v=vL5vygLmOCE</t>
  </si>
  <si>
    <t>https://www.youtube.com/watch?v=yldeubBRxP8</t>
  </si>
  <si>
    <t>https://www.youtube.com/watch?v=AZ2TUVwJ3SI</t>
  </si>
  <si>
    <t>https://www.youtube.com/watch?v=GOSTtTgOCu8</t>
  </si>
  <si>
    <t>https://www.youtube.com/watch?v=kZ5BIutZYfA</t>
  </si>
  <si>
    <t>https://www.youtube.com/watch?v=Kkys1Vy1Ih0</t>
  </si>
  <si>
    <t>https://www.youtube.com/watch?v=khqKm_9AVp4</t>
  </si>
  <si>
    <t>https://www.youtube.com/watch?v=0mgeTElpErk</t>
  </si>
  <si>
    <t>https://www.youtube.com/watch?v=kacqcxpSJHw</t>
  </si>
  <si>
    <t>https://www.youtube.com/watch?v=lwzZTjdLbMo</t>
  </si>
  <si>
    <t>https://www.youtube.com/watch?v=y323_bT_xsE</t>
  </si>
  <si>
    <t>https://www.youtube.com/watch?v=WDyYUFlH7h0</t>
  </si>
  <si>
    <t>https://www.youtube.com/watch?v=NiXfaT_pV1c</t>
  </si>
  <si>
    <t>https://www.youtube.com/watch?v=F5NW3ZbBzHQ</t>
  </si>
  <si>
    <t>https://www.youtube.com/watch?v=mSgDL-Ldw_w</t>
  </si>
  <si>
    <t>https://www.youtube.com/watch?v=997jhTCmVTs</t>
  </si>
  <si>
    <t>https://www.youtube.com/watch?v=5FOXBZyCTH8</t>
  </si>
  <si>
    <t>https://www.youtube.com/watch?v=qYCfOZBqkjo</t>
  </si>
  <si>
    <t>https://www.youtube.com/watch?v=QCxuG_BH6TM</t>
  </si>
  <si>
    <t>https://www.youtube.com/watch?v=jL8ZMaozkrw</t>
  </si>
  <si>
    <t>ต 1.1</t>
  </si>
  <si>
    <t>ต 1.3</t>
  </si>
  <si>
    <t>ต 1.1, 1.3</t>
  </si>
  <si>
    <t>Pronunciation</t>
  </si>
  <si>
    <t>Giving Direction 1</t>
  </si>
  <si>
    <t>Giving Direction 2</t>
  </si>
  <si>
    <t>Adjectives</t>
  </si>
  <si>
    <t>Signs and notices</t>
  </si>
  <si>
    <t>Can I Help You?</t>
  </si>
  <si>
    <t>Begging and Asking       for Help</t>
  </si>
  <si>
    <t xml:space="preserve">Asking for and Giving Data / Help </t>
  </si>
  <si>
    <t>Giving Direction</t>
  </si>
  <si>
    <t>ประเสริฐ จันทร์กระจ่างเลิศ</t>
  </si>
  <si>
    <t>รตินธร วาดเขียน</t>
  </si>
  <si>
    <t>รร.พระตำหนักสวนกุหลาบ</t>
  </si>
  <si>
    <t>รร.สายน้ำทิพย์</t>
  </si>
  <si>
    <t>https://www.youtube.com/watch?v=t4lD2sQdf1s</t>
  </si>
  <si>
    <t>https://www.youtube.com/watch?v=fU_K-e-5sgY</t>
  </si>
  <si>
    <t>https://www.youtube.com/watch?v=gdgOee6Vj7w</t>
  </si>
  <si>
    <t>https://www.youtube.com/watch?v=xas7_jOdGb0</t>
  </si>
  <si>
    <t>https://www.youtube.com/watch?v=qm_bHys6bK4</t>
  </si>
  <si>
    <t>https://www.youtube.com/watch?v=SoUWHSRxs3E</t>
  </si>
  <si>
    <t>https://www.youtube.com/watch?v=8F-I-9qJAt4</t>
  </si>
  <si>
    <t xml:space="preserve">ส 4.3 </t>
  </si>
  <si>
    <t>ส 4.3</t>
  </si>
  <si>
    <t>การสังคายนาและการเผยแผ่พระพุทธศาสนาเข้าสู่
ประเทศไทย ตอน 2</t>
  </si>
  <si>
    <t>พุทธประวัติ ตอนที่ 1</t>
  </si>
  <si>
    <t>พุทธประวัติ ตอนที่ 2</t>
  </si>
  <si>
    <t>อริยสัจ 4 และ มรรค</t>
  </si>
  <si>
    <t>สาระสำคัญของรัฐธรรมนูญ</t>
  </si>
  <si>
    <t>การแบ่งอำนาจและถ่วงดุลอำนาจอธิปไตย ตอน 1</t>
  </si>
  <si>
    <t>การแบ่งอำนาจและถ่วงดุลอำนาจอธิปไตย ตอน 2</t>
  </si>
  <si>
    <t>ความหมาย ความสำคัญ และประเภทของสถาบันการเงิน</t>
  </si>
  <si>
    <t>อุปสงค์ อุปทาน</t>
  </si>
  <si>
    <t>รุ่งอรุณแห่งกรุงสุโขทัย</t>
  </si>
  <si>
    <t>การเมืองการปกครองสมัย     อาณาจักรสุโขทัย</t>
  </si>
  <si>
    <t>เศรษฐกิจสมัยอาณาจักรสุโขทัย</t>
  </si>
  <si>
    <t>ความสัมพันธ์ระหว่างประเทศ     สมัยอาณาจักรสุโขทัย</t>
  </si>
  <si>
    <t xml:space="preserve">ศิลปกรรมสมัยอาณาจักร     สุโขทัย </t>
  </si>
  <si>
    <t xml:space="preserve">ภูมิปัญญาและวัฒนธรรมสมัย     อาณาจักรสุโขทัย </t>
  </si>
  <si>
    <t>การเสื่อมอำนาจสมัยอาณาจักรสุโขทัย</t>
  </si>
  <si>
    <t>ความเป็นมาของชนชาติไทย</t>
  </si>
  <si>
    <t>อาณาจักรโบราณ
ในดินแดนไทย</t>
  </si>
  <si>
    <t>ดวงพร เฉลยนาค</t>
  </si>
  <si>
    <t>ปราณปรียา พรมสิทธิ์</t>
  </si>
  <si>
    <t>วีรินทร์ คู่โนรัมภ์</t>
  </si>
  <si>
    <t>ปรียาภรณ์ พลไตร</t>
  </si>
  <si>
    <t>อ้อยทิพย์ ทองดี</t>
  </si>
  <si>
    <t xml:space="preserve"> รร.จอมสุรางค์อุปถัมภ์</t>
  </si>
  <si>
    <t>Question Words and The Verb "to be"</t>
  </si>
  <si>
    <t>This , That , These , Those</t>
  </si>
  <si>
    <t>Prepositions of Place</t>
  </si>
  <si>
    <t>Relationship and Possessions</t>
  </si>
  <si>
    <t>Present Simple (Affirmative)</t>
  </si>
  <si>
    <t>Present Simple (Negative , Questions , and Short Answers)</t>
  </si>
  <si>
    <t>รร.พร้าวพิทยาคม</t>
  </si>
  <si>
    <t>Present Simple with Advers of Frequency</t>
  </si>
  <si>
    <t>Quantifiers</t>
  </si>
  <si>
    <t>Will / Going to</t>
  </si>
  <si>
    <t>Dilemma</t>
  </si>
  <si>
    <t>Grammar Terminology</t>
  </si>
  <si>
    <t>Adverb of degree</t>
  </si>
  <si>
    <t>Verb followed by "ing" / infinitive</t>
  </si>
  <si>
    <t>Mr.Andrew Schiff</t>
  </si>
  <si>
    <t>ครูชนัตตา ชื่นจิตต์</t>
  </si>
  <si>
    <t>Mr.Michael Lee Cook</t>
  </si>
  <si>
    <t>ครูสิทธิพงษ์ วงศ์อาจ</t>
  </si>
  <si>
    <t>Mr.Ralf Siegesmund</t>
  </si>
  <si>
    <t>โรงเรียนอัสสัมชัน</t>
  </si>
  <si>
    <t>โรงเรียนมหรรณพาราม</t>
  </si>
  <si>
    <t>https://www.youtube.com/watch?v=ntyiqJzRcTg</t>
  </si>
  <si>
    <t>https://www.youtube.com/watch?v=LK7AfpPb7Fo</t>
  </si>
  <si>
    <t>https://www.youtube.com/watch?v=xNY6cJKRim0</t>
  </si>
  <si>
    <t>https://www.youtube.com/watch?v=f1S2H0gwcQM</t>
  </si>
  <si>
    <t>https://www.youtube.com/watch?v=n4Iz020iv2k</t>
  </si>
  <si>
    <t>https://www.youtube.com/watch?v=bwudmZL2G18</t>
  </si>
  <si>
    <t>https://www.youtube.com/watch?v=YJCgjloB06c</t>
  </si>
  <si>
    <t>https://www.youtube.com/watch?v=G4I31SeTg7k</t>
  </si>
  <si>
    <t>https://www.youtube.com/watch?v=fdL_NhTnlz4</t>
  </si>
  <si>
    <t>https://www.youtube.com/watch?v=zHcC9W_LS3c</t>
  </si>
  <si>
    <t>https://www.youtube.com/watch?v=YVCgPpwZFco</t>
  </si>
  <si>
    <t>https://www.youtube.com/watch?v=5yeaJzkGS1A</t>
  </si>
  <si>
    <t>https://www.youtube.com/watch?v=ZFLEos0PbgA</t>
  </si>
  <si>
    <t>https://www.youtube.com/watch?v=cm6sHETqoAc</t>
  </si>
  <si>
    <t>https://www.youtube.com/watch?v=tSnRWEh7VXw</t>
  </si>
  <si>
    <t>https://www.youtube.com/watch?v=M6f2enaESA8</t>
  </si>
  <si>
    <t>https://www.youtube.com/watch?v=uQ4bar5iqGA</t>
  </si>
  <si>
    <t>https://www.youtube.com/watch?v=5Ml1G33OlmU</t>
  </si>
  <si>
    <t>https://www.youtube.com/watch?v=uAwq1-bgQ9c</t>
  </si>
  <si>
    <t>https://www.youtube.com/watch?v=nMkcdWLrJlE</t>
  </si>
  <si>
    <t>https://www.youtube.com/watch?v=4oCaHq9IE8E</t>
  </si>
  <si>
    <t>https://www.youtube.com/watch?v=-XKEf7otU2A</t>
  </si>
  <si>
    <t>https://www.youtube.com/watch?v=C6J2s0p3tE8</t>
  </si>
  <si>
    <t>https://www.youtube.com/watch?v=_2fupYXdpKI</t>
  </si>
  <si>
    <t>https://www.youtube.com/watch?v=0KRJpyIapk0</t>
  </si>
  <si>
    <t>https://www.youtube.com/watch?v=V0qdrsEz3dc</t>
  </si>
  <si>
    <t>https://www.youtube.com/watch?v=7yRHsSjIrRw</t>
  </si>
  <si>
    <t>https://www.youtube.com/watch?v=YWfoJe8rpOo</t>
  </si>
  <si>
    <t>https://www.youtube.com/watch?v=Gnyp-bkO5t4</t>
  </si>
  <si>
    <t>https://www.youtube.com/watch?v=EGn8EGiDfpU</t>
  </si>
  <si>
    <t>https://www.youtube.com/watch?v=bp8IPu-rPfc</t>
  </si>
  <si>
    <t>Relative Clause</t>
  </si>
  <si>
    <t>Present Simple                      (Fact, Routine, Habits)</t>
  </si>
  <si>
    <t>Adverbs of Frequency</t>
  </si>
  <si>
    <t>Present Continuous</t>
  </si>
  <si>
    <t>Present Continuous vs Present Simple</t>
  </si>
  <si>
    <t>Comparison 1</t>
  </si>
  <si>
    <t>Comparison 2</t>
  </si>
  <si>
    <t>Past Simple Tense</t>
  </si>
  <si>
    <t>Past Continuous</t>
  </si>
  <si>
    <t>Article</t>
  </si>
  <si>
    <t>Subject Verb Agreement ตอนที่ 1</t>
  </si>
  <si>
    <t>Subject Verb Agreement ตอนที่ 2</t>
  </si>
  <si>
    <t>Conditional Sentence</t>
  </si>
  <si>
    <t>Subjunctive ตอนที่ 1</t>
  </si>
  <si>
    <t>Subjunctive ตอนที่ 2</t>
  </si>
  <si>
    <t>ครูปานจันทร์ ภูวิชิต</t>
  </si>
  <si>
    <t>ครูอุษณี สร้อยเพ็ชร</t>
  </si>
  <si>
    <t>ครูอรทัย กุมารทัต</t>
  </si>
  <si>
    <t>ครูอดิศักดิ์ กิจติวรวิทย์</t>
  </si>
  <si>
    <t>โรงเรียนวัชรวิทยา</t>
  </si>
  <si>
    <t>https://www.youtube.com/watch?v=zJmeIH4G27s</t>
  </si>
  <si>
    <t>https://www.youtube.com/watch?v=tWczMRKS5ws</t>
  </si>
  <si>
    <t>https://www.youtube.com/watch?v=mM2Qo_a6Rf0</t>
  </si>
  <si>
    <t>https://www.youtube.com/watch?v=vbWCalq7Osg</t>
  </si>
  <si>
    <t>https://www.youtube.com/watch?v=FyFI9lFoup0</t>
  </si>
  <si>
    <t>https://www.youtube.com/watch?v=BVoMRKifNRI</t>
  </si>
  <si>
    <t>ความหมายและความสำคัญของการลงทุน
และการออมต่อระบบเศรษฐกิจ</t>
  </si>
  <si>
    <t>การบริหารจัดการเงินออมและ    การลงทุนภาคครัวเรือน</t>
  </si>
  <si>
    <t>https://www.youtube.com/watch?v=fpKrozpGyXo</t>
  </si>
  <si>
    <t>หลักการและเป้าหมายของ     ปรัญชาเศรษฐกิจพอเพียง</t>
  </si>
  <si>
    <t>การประยุกต์ใช้ปรัชญา    เศรษฐกิจพอเพียงในการผลิต   สินค้าและบริการในท้องถิ่น</t>
  </si>
  <si>
    <t>การแข่งขันทางการค้า       ในประเทศ</t>
  </si>
  <si>
    <t>การแข่งขันทางการค้า     ระหว่างประเทศ</t>
  </si>
  <si>
    <t>แหล่งอารยธรรมโบราณ     ในภูมิภาคเอเชีย: 
อารยธรรมจีน</t>
  </si>
  <si>
    <t>https://www.youtube.com/watch?v=EnfBmiiq_1U</t>
  </si>
  <si>
    <t>แหล่งอารยธรรมโบราณ    ในภูมิภาคเอเชีย: 
อารยธรรมเอเชียตะวันตก   เฉียงใต้</t>
  </si>
  <si>
    <t>แหล่งอารยธรรมโบราณ      ในภูมิภาคเอเชีย: 
อารยธรรมอินเดีย</t>
  </si>
  <si>
    <t>https://www.youtube.com/watch?v=poCfihTqst0</t>
  </si>
  <si>
    <t>https://www.youtube.com/watch?v=hippV6OykIM</t>
  </si>
  <si>
    <t>https://www.youtube.com/watch?v=IlEB76XIVb0</t>
  </si>
  <si>
    <t>การเมืองการปกครองอาณาจักรอยุธยา</t>
  </si>
  <si>
    <t>สังคม เศรษฐกิจ ศิลปวัฒนธรรม
อาณาจักรอยุธยา</t>
  </si>
  <si>
    <t>ลักษณะภูมิประเทศ
ของทวีปยุโรป</t>
  </si>
  <si>
    <t>ลักษณะภูมิอากาศ
ของทวีปยุโรป</t>
  </si>
  <si>
    <t>https://www.youtube.com/watch?v=zAzeTqZG-hM</t>
  </si>
  <si>
    <t>เศรษฐกิจ สังคม วัฒนธรรม และประชากรของทวีปยุโรป</t>
  </si>
  <si>
    <t>ปัญหาสิ่งแวดล้อมที่เกิดขึ้น
ในทวีปยุโรป</t>
  </si>
  <si>
    <t>ลักษณะภูมิประเทศ
ของทวีปแอฟริกา</t>
  </si>
  <si>
    <t>เศรษฐกิจ สังคม วัฒนธรรม และประชากรของทวีปแอฟริกา</t>
  </si>
  <si>
    <t>ปัญหาสิ่งแวดล้อมที่เกิดขึ้น
ในทวีปแอฟริกา</t>
  </si>
  <si>
    <t>ลักษณะภูมิอากาศ
ของทวีปแอฟริกา</t>
  </si>
  <si>
    <t>https://www.youtube.com/watch?v=pNirV7Zga_M</t>
  </si>
  <si>
    <t>ขนิษฐา จันทร์สว่าง</t>
  </si>
  <si>
    <t>https://www.youtube.com/watch?v=HuXzvCSavi8</t>
  </si>
  <si>
    <t>https://www.youtube.com/watch?v=g_XfhJID8Z4</t>
  </si>
  <si>
    <t>เสาวภา หัฏฐสะกุล</t>
  </si>
  <si>
    <t>วรารัตน์ นาพิรุณ</t>
  </si>
  <si>
    <t>นำโชค อุ่นเวียง</t>
  </si>
  <si>
    <t>ปนิตา ลือขจร</t>
  </si>
  <si>
    <t>พลากร จำลอง</t>
  </si>
  <si>
    <t>ครูชมพลอย ชุติแพทย์วิภา</t>
  </si>
  <si>
    <t>รร.ศรีอยุธยาฯ</t>
  </si>
  <si>
    <t>โรงเรียนสุรวิทยาคาร</t>
  </si>
  <si>
    <t>จ.สุรินทร์</t>
  </si>
  <si>
    <t>https://www.youtube.com/watch?v=SvXVuWVPZco</t>
  </si>
  <si>
    <t>https://www.youtube.com/watch?v=Ttu23q9GQp0</t>
  </si>
  <si>
    <t>https://www.youtube.com/watch?v=PuYWS1E9nd0</t>
  </si>
  <si>
    <t>https://www.youtube.com/watch?v=L7VHcRWmCeo</t>
  </si>
  <si>
    <t>https://www.youtube.com/watch?v=j2Ujs5SkCR0</t>
  </si>
  <si>
    <t>https://www.youtube.com/watch?v=bfpC6GPbYnw</t>
  </si>
  <si>
    <t>https://www.youtube.com/watch?v=x-G6SfIxRBo</t>
  </si>
  <si>
    <t>https://www.youtube.com/watch?v=Cp7NT2uRJLk</t>
  </si>
  <si>
    <t>https://www.youtube.com/watch?v=cvmkeVOATtY</t>
  </si>
  <si>
    <t>https://www.youtube.com/watch?v=awpb6C0Zdq4</t>
  </si>
  <si>
    <t>https://www.youtube.com/watch?v=qTojK-yPSl4</t>
  </si>
  <si>
    <t>https://www.youtube.com/watch?v=D42xwLbn1mQ</t>
  </si>
  <si>
    <t>https://www.youtube.com/watch?v=vj69pQvj_yY</t>
  </si>
  <si>
    <t>https://www.youtube.com/watch?v=gAL5ak47C7A</t>
  </si>
  <si>
    <t>https://www.youtube.com/watch?v=HiV4g-iBUHM</t>
  </si>
  <si>
    <t>https://www.youtube.com/watch?v=taWH5nSBH9o</t>
  </si>
  <si>
    <t>https://www.youtube.com/watch?v=x4bAw_23sYI</t>
  </si>
  <si>
    <t>https://www.youtube.com/watch?v=ISKkVBztSX8</t>
  </si>
  <si>
    <t>https://www.youtube.com/watch?v=uBIcURcVdII</t>
  </si>
  <si>
    <t>Passive Voice 1</t>
  </si>
  <si>
    <t>Passive Voice 2</t>
  </si>
  <si>
    <t>Letters</t>
  </si>
  <si>
    <t>Signs</t>
  </si>
  <si>
    <t>Reading ตอน 1</t>
  </si>
  <si>
    <t>Reading ตอน 2</t>
  </si>
  <si>
    <t>Past Perfect Tense</t>
  </si>
  <si>
    <t>Wish / If Only</t>
  </si>
  <si>
    <t>Modal Verbs</t>
  </si>
  <si>
    <t>Active / Passive Voice</t>
  </si>
  <si>
    <t xml:space="preserve">Direct / Indirect Speech </t>
  </si>
  <si>
    <t>ครูซี บุญยโกศล</t>
  </si>
  <si>
    <t>ครูศันสนีย์ ศานติรัตนชัย</t>
  </si>
  <si>
    <t>โรงเรียนสตรีวิทยา</t>
  </si>
  <si>
    <t xml:space="preserve">โรงเรียนยุพราชวิทยาลัย </t>
  </si>
  <si>
    <t>https://www.youtube.com/watch?v=RiRfO5OoSiA</t>
  </si>
  <si>
    <t>https://www.youtube.com/watch?v=_VzaGgLOOWg</t>
  </si>
  <si>
    <t>https://www.youtube.com/watch?v=ZdsHzf-DR8M</t>
  </si>
  <si>
    <t>https://www.youtube.com/watch?v=SDmrK8bwyu4</t>
  </si>
  <si>
    <t>https://www.youtube.com/watch?v=mSakSVy3r5M</t>
  </si>
  <si>
    <t>https://www.youtube.com/watch?v=S3xA65MAXsk</t>
  </si>
  <si>
    <t>https://www.youtube.com/watch?v=8nsYtuvcCxM</t>
  </si>
  <si>
    <t>https://www.youtube.com/watch?v=wo9LphLVx80</t>
  </si>
  <si>
    <t>https://www.youtube.com/watch?v=ueAYbBr4kho</t>
  </si>
  <si>
    <t>https://www.youtube.com/watch?v=hD0OZYIAcVo</t>
  </si>
  <si>
    <t>https://www.youtube.com/watch?v=0YLrwJux0yU</t>
  </si>
  <si>
    <t>https://www.youtube.com/watch?v=5LpY4YQCQuk</t>
  </si>
  <si>
    <t>https://www.youtube.com/watch?v=3JZYjKLcJ8Y</t>
  </si>
  <si>
    <t>3.1</t>
  </si>
  <si>
    <t>3.2</t>
  </si>
  <si>
    <t>4.2</t>
  </si>
  <si>
    <t>4.3</t>
  </si>
  <si>
    <t>5.2</t>
  </si>
  <si>
    <t>Present Simple and Present Continuous</t>
  </si>
  <si>
    <t>Present Perfect and Past Simple</t>
  </si>
  <si>
    <t>Past Simple and Past Perfect</t>
  </si>
  <si>
    <t>Past Simple and Past Continuous</t>
  </si>
  <si>
    <t>Comparatives &amp; Superlatives</t>
  </si>
  <si>
    <t>City Profile</t>
  </si>
  <si>
    <t>Travel Plan</t>
  </si>
  <si>
    <t>If I Were a Guide</t>
  </si>
  <si>
    <t>Using Question Tags</t>
  </si>
  <si>
    <t>Giving Advice</t>
  </si>
  <si>
    <t>Adverbs and Adjectives</t>
  </si>
  <si>
    <t>Finite and Non - Finite Verbs</t>
  </si>
  <si>
    <t xml:space="preserve">Passive Voice </t>
  </si>
  <si>
    <t>Possessive Pronouns</t>
  </si>
  <si>
    <t>Defining Relative Clauses</t>
  </si>
  <si>
    <t>Non - defining Relative Clauses and Relative Words</t>
  </si>
  <si>
    <t>ครูชาคริต หะซัน</t>
  </si>
  <si>
    <t>Mr. Graham Roemmele</t>
  </si>
  <si>
    <t>ครูเอมอุษา ภูมิสวัสดิ์</t>
  </si>
  <si>
    <t>ปัญหาและผลกระทบจากภาวะเงินเฟ้อ เงินฝืด 
และการว่างงาน ตอน 1</t>
  </si>
  <si>
    <t>ครูสุพัฒนา ใจรักษ์พงศ์</t>
  </si>
  <si>
    <t>ปัญหาและผลกระทบจากภาวะเงินเฟ้อ เงินฝืด 
และการว่างงาน ตอน 2</t>
  </si>
  <si>
    <t>การรวมกลุ่มทางเศรษฐกิจและ   การค้าระหว่างประเทศ</t>
  </si>
  <si>
    <t>สงครามโลกครั้งที่ 1</t>
  </si>
  <si>
    <t>สงครามโลกครั้งที่ 2</t>
  </si>
  <si>
    <t>พัฒนาการของไทยในสมัยปรับปรุงและปฏิรูปประเทศ ตอนที่ 1</t>
  </si>
  <si>
    <t>พัฒนาการของไทยในสมัยปรับปรุงและปฏิรูปประเทศ ตอนที่ 2</t>
  </si>
  <si>
    <t>การเปลี่ยนแปลงลักษณะทาง
กายภาพของทวีปอเมริกาเหนือ ตอน 1</t>
  </si>
  <si>
    <t>การเปลี่ยนแปลงลักษณะทาง
กายภาพของทวีปอเมริกาเหนือ ตอน 2</t>
  </si>
  <si>
    <t>การเปลี่ยนแปลงประชากร เศรษฐกิจ สังคม
และวัฒนธรรม
ของทวีปอเมริกาเหนือ ตอน 1</t>
  </si>
  <si>
    <t>โรงเรียนนวมินทราชินูทิศ เบญจมราชาลัย</t>
  </si>
  <si>
    <t>การเปลี่ยนแปลงประชากร เศรษฐกิจ สังคม
และวัฒนธรรม
ของทวีปอเมริกาเหนือ ตอน 2</t>
  </si>
  <si>
    <t>การเปลี่ยนแปลงลักษณะทางกายภาพและทางสังคม
ของทวีปอเมริกาเหนือ ตอน 1</t>
  </si>
  <si>
    <t>การเปลี่ยนแปลงลักษณะทางกายภาพและทางสังคม
ของทวีปอเมริกาเหนือ ตอน 2</t>
  </si>
  <si>
    <t>การเปลี่ยนแปลงลักษณะทางกายภาพและทางสังคม
ของทวีปอเมริกาใต้ ตอน 1</t>
  </si>
  <si>
    <t>การเปลี่ยนแปลงลักษณะทางกายภาพและทางสังคม
ของทวีปอเมริกาใต้ ตอน 2</t>
  </si>
  <si>
    <t>ปัญหาผลกระทบและ
แนวทางแก้ไขสิ่งแวดล้อม
ในทวีปอเมริกาเหนือ</t>
  </si>
  <si>
    <t>โรงเรียนอัสสัมชัญ</t>
  </si>
  <si>
    <t>ปัญหาผลกระทบและ
แนวทางแก้ไขสิ่งแวดล้อม
ในทวีปอเมริกาใต้</t>
  </si>
  <si>
    <t>ปรินทร์ ทองเผือก</t>
  </si>
  <si>
    <t>ธนสาร เมธสุทธิ์</t>
  </si>
  <si>
    <t>สุพรรณษา เม่งเตี๋ยน</t>
  </si>
  <si>
    <t>ศิริพร พิทักษ์จินดา</t>
  </si>
  <si>
    <t>ชาญวุฒิ ทองจันทร์</t>
  </si>
  <si>
    <t>https://www.youtube.com/watch?v=hxWakV6kln8</t>
  </si>
  <si>
    <t>รร.สตรีวิทยา</t>
  </si>
  <si>
    <t>https://www.youtube.com/watch?v=R5LQt1PMw9Q</t>
  </si>
  <si>
    <t>https://www.youtube.com/watch?v=0aQhlqODDzU</t>
  </si>
  <si>
    <t>https://www.youtube.com/watch?v=mwl3tW8feqc</t>
  </si>
  <si>
    <t>https://www.youtube.com/watch?v=g3tnOTbplwA</t>
  </si>
  <si>
    <t>https://www.youtube.com/watch?v=VIpp3xs837Y</t>
  </si>
  <si>
    <t>https://www.youtube.com/watch?v=VPxlsCI9Cao</t>
  </si>
  <si>
    <t>https://www.youtube.com/watch?v=Rba-LIOpRZY</t>
  </si>
  <si>
    <t>https://www.youtube.com/watch?v=-8mDu0eDRkc</t>
  </si>
  <si>
    <t>https://www.youtube.com/watch?v=Gd75lO59zJU</t>
  </si>
  <si>
    <t>https://www.youtube.com/watch?v=zcvnMN2jPfY</t>
  </si>
  <si>
    <t>https://www.youtube.com/watch?v=KjC9OJ_9qMM</t>
  </si>
  <si>
    <t>https://www.youtube.com/watch?v=Fu3oxPXiNyc</t>
  </si>
  <si>
    <t>https://www.youtube.com/watch?v=nuA34aGg0HM</t>
  </si>
  <si>
    <t>https://www.youtube.com/watch?v=TyqHVlLEd40</t>
  </si>
  <si>
    <t>https://www.youtube.com/watch?v=guClcuVtkCE</t>
  </si>
  <si>
    <t>https://www.youtube.com/watch?v=KgdpTKolhzc</t>
  </si>
  <si>
    <t>https://www.youtube.com/watch?v=34PYxoqAgcM</t>
  </si>
  <si>
    <t>https://www.youtube.com/watch?v=v-ijhjtLquc</t>
  </si>
  <si>
    <t>https://www.youtube.com/watch?v=TIvwfw_YJlw</t>
  </si>
  <si>
    <t>https://www.youtube.com/watch?v=SVrUghYkQMI</t>
  </si>
  <si>
    <t>https://www.youtube.com/watch?v=Uv-2iYx2_0c</t>
  </si>
  <si>
    <t>https://www.youtube.com/watch?v=zXFkoho4hDc</t>
  </si>
  <si>
    <t>https://www.youtube.com/watch?v=yFzRiQpEnU0</t>
  </si>
  <si>
    <t>https://www.youtube.com/watch?v=8dh-YKAFrbM</t>
  </si>
  <si>
    <t>https://www.youtube.com/watch?v=W1y1AOkwMbU</t>
  </si>
  <si>
    <t>https://www.youtube.com/watch?v=j44iOqH8xJ8</t>
  </si>
  <si>
    <t>https://www.youtube.com/watch?v=LQ_x9V0axAY</t>
  </si>
  <si>
    <t>https://www.youtube.com/watch?v=61Cn3jiB4Ak</t>
  </si>
  <si>
    <t>https://www.youtube.com/watch?v=i-_xIBUl64g</t>
  </si>
  <si>
    <t>https://www.youtube.com/watch?v=gUJQfzTdPH8</t>
  </si>
  <si>
    <t>https://www.youtube.com/watch?v=8hqSWPw1Uyo</t>
  </si>
  <si>
    <t>https://www.youtube.com/watch?v=3vPhRI3wdj8</t>
  </si>
  <si>
    <t>https://www.youtube.com/watch?v=U0NnoB5iNIE</t>
  </si>
  <si>
    <t>https://www.youtube.com/watch?v=GaCrNMJQiaI</t>
  </si>
  <si>
    <t>วันสำคัญทางพระพุทธศาสนา ตอน 2</t>
  </si>
  <si>
    <t>เทศกาลสำคัญทางพระพุทธศาสนา</t>
  </si>
  <si>
    <t>ศาสนพิธี</t>
  </si>
  <si>
    <t>โครงสร้างทางสังคม ตอน 1</t>
  </si>
  <si>
    <t>โครงสร้างทางสังคม ตอน 2</t>
  </si>
  <si>
    <t>การจัดระเบียบทางสังคม บรรทัดฐาน ค่านิยม ตอน 1</t>
  </si>
  <si>
    <t>การจัดระเบียบทางสังคม บรรทัดฐาน ค่านิยม ตอน 2</t>
  </si>
  <si>
    <t>ความรู้เบื้องต้นเกี่ยวกับเศรษฐศาสตร์</t>
  </si>
  <si>
    <t>ระบบเศรษฐกิจของโลก
ในปัจจุบัน</t>
  </si>
  <si>
    <t>กิจกรรมทางเศรษฐกิจ
และการแลกเปลี่ยน (ตลาด)</t>
  </si>
  <si>
    <t>สถาบันทางสังคม</t>
  </si>
  <si>
    <t>บรรทัดฐานทางสังคม</t>
  </si>
  <si>
    <t>การแบ่งยุคสมัยทาง     ประวัติศาสตร์</t>
  </si>
  <si>
    <t>ความสัมพันธ์ของยุคสมัยทาง     ประวัติศาสตร์สากล   และประวัติศาสตร์ไทย</t>
  </si>
  <si>
    <t>วิธีการทางประวัติศาสตร์</t>
  </si>
  <si>
    <t>องค์ประกอบของแผนที่</t>
  </si>
  <si>
    <t>ระบบอ้างอิงบนแผนที่</t>
  </si>
  <si>
    <t>เครื่องมือทางภูมิศาสตร์</t>
  </si>
  <si>
    <t>ภูมิสารสนเทศ</t>
  </si>
  <si>
    <t xml:space="preserve">พลเมืองดีตามวิถีประชาธิปไตย      อันมีพระมหากษัตริย์ทรง     เป็นประมุข </t>
  </si>
  <si>
    <t>ปราโมทย์ แหวนเงิน</t>
  </si>
  <si>
    <t>ศรายุธ ธารเนตร</t>
  </si>
  <si>
    <t>เอกภพ พรหมสุทธิรักษ์</t>
  </si>
  <si>
    <t>วทัญญู สุวรรณประทีป</t>
  </si>
  <si>
    <t>ณัฐยา แสงรัศมีเพ็ญ</t>
  </si>
  <si>
    <t>กนกพร สุขสาย</t>
  </si>
  <si>
    <t>จำรูญ ใจนวน</t>
  </si>
  <si>
    <t>รร.เบญจะมะมหาราช</t>
  </si>
  <si>
    <t>รร.ขุขันธ์</t>
  </si>
  <si>
    <t>Modals of Speculation ตอน 1</t>
  </si>
  <si>
    <t>Modals of Speculation ตอน 2</t>
  </si>
  <si>
    <t>Modals of Speculation ตอน 3</t>
  </si>
  <si>
    <t>Future Continuous and Future Perfect</t>
  </si>
  <si>
    <t>Unreal Conditional Sentence 1</t>
  </si>
  <si>
    <t>Unreal Conditional Sentence 2</t>
  </si>
  <si>
    <t>Unreal Conditional Sentence 3</t>
  </si>
  <si>
    <t>Unreal Conditional Sentence 4</t>
  </si>
  <si>
    <t>Context Clues</t>
  </si>
  <si>
    <t>Phrasal Verbs</t>
  </si>
  <si>
    <t>Would / Used to</t>
  </si>
  <si>
    <t>Will and Be Going to</t>
  </si>
  <si>
    <t>https://www.youtube.com/watch?v=k_tXq4fJ7Hw</t>
  </si>
  <si>
    <t>Direct Speech and Indirect Speech ตอน 1</t>
  </si>
  <si>
    <t>Direct Speech and Indirect Speech ตอน 2</t>
  </si>
  <si>
    <t>Direct Speech and Indirect Speech ตอน 3</t>
  </si>
  <si>
    <t>Direct Speech and Indirect Speech ตอน 4</t>
  </si>
  <si>
    <t>https://www.youtube.com/watch?v=QEQaKeppT5s</t>
  </si>
  <si>
    <t>อาจารย์อธิพงษ์ อมรวงศ์ปีติ</t>
  </si>
  <si>
    <t>https://www.youtube.com/watch?v=rR4VN8ZE420</t>
  </si>
  <si>
    <t>https://www.youtube.com/watch?v=Yz7m0THUR4Y</t>
  </si>
  <si>
    <t>ครูสิรินันทน์ เสนาะเมือง</t>
  </si>
  <si>
    <t>https://www.youtube.com/watch?v=9KKxwGevdWY</t>
  </si>
  <si>
    <t>https://www.youtube.com/watch?v=KR1UXQUcZGw</t>
  </si>
  <si>
    <t>คณะอักษรศาสตร์ จุฬาลงกรณ์มหาวิทยาลัย</t>
  </si>
  <si>
    <t>https://www.youtube.com/watch?v=CH20j8YzYvs</t>
  </si>
  <si>
    <t>https://www.youtube.com/watch?v=gIZFkOUprOg</t>
  </si>
  <si>
    <t>https://www.youtube.com/watch?v=M0dPR1Jkf20</t>
  </si>
  <si>
    <t>https://www.youtube.com/watch?v=YbKXSwKoXlA</t>
  </si>
  <si>
    <t>https://www.youtube.com/watch?v=Ci8UyyttH_c</t>
  </si>
  <si>
    <t>https://www.youtube.com/watch?v=GXoYuWMSFUI</t>
  </si>
  <si>
    <t>https://www.youtube.com/watch?v=V4FL878Gd6U</t>
  </si>
  <si>
    <t>https://www.youtube.com/watch?v=72K05k9uUYM</t>
  </si>
  <si>
    <t>https://www.youtube.com/watch?v=6pHJ7FHskpM</t>
  </si>
  <si>
    <t>https://www.youtube.com/watch?v=I6ZbyFFO8sY</t>
  </si>
  <si>
    <t>https://www.youtube.com/watch?v=kLBZ5uYo6W0</t>
  </si>
  <si>
    <t>https://www.youtube.com/watch?v=0tEX2n49VtA</t>
  </si>
  <si>
    <t>https://www.youtube.com/watch?v=K9IgmnytVp0</t>
  </si>
  <si>
    <t>https://www.youtube.com/watch?v=vCdD9L8LMZk</t>
  </si>
  <si>
    <t>https://www.youtube.com/watch?v=zNLmTn5sIi0</t>
  </si>
  <si>
    <t>https://www.youtube.com/watch?v=xF8EleGIzIc</t>
  </si>
  <si>
    <t>https://www.youtube.com/watch?v=oRTCB0ETG0c</t>
  </si>
  <si>
    <t>https://www.youtube.com/watch?v=fl9cdgp9HWc</t>
  </si>
  <si>
    <t>https://www.youtube.com/watch?v=LtLJ9TEGPXw</t>
  </si>
  <si>
    <t>https://www.youtube.com/watch?v=wXcsPd61Cp4</t>
  </si>
  <si>
    <t>https://www.youtube.com/watch?v=3TVgr5O1OVE</t>
  </si>
  <si>
    <t>https://www.youtube.com/watch?v=amotKzh2vAo</t>
  </si>
  <si>
    <t>https://www.youtube.com/watch?v=YFl0HzHyhdM</t>
  </si>
  <si>
    <t>https://www.youtube.com/watch?v=8NbNYHUohH4</t>
  </si>
  <si>
    <t>https://www.youtube.com/watch?v=4GEIR2zomVc</t>
  </si>
  <si>
    <t>https://www.youtube.com/watch?v=IEX5jioEEZE</t>
  </si>
  <si>
    <t>https://www.youtube.com/watch?v=nc864mdbFHY</t>
  </si>
  <si>
    <t>https://www.youtube.com/watch?v=MquuxBa7S_I</t>
  </si>
  <si>
    <t>https://www.youtube.com/watch?v=IEycJdudd6I</t>
  </si>
  <si>
    <t>https://www.youtube.com/watch?v=lzC732TLOqM</t>
  </si>
  <si>
    <t>https://www.youtube.com/watch?v=F7rXPOwS9fM</t>
  </si>
  <si>
    <t>At the Movie</t>
  </si>
  <si>
    <t>Do you need it? ตอน 1</t>
  </si>
  <si>
    <t>Do you need it? ตอน 2</t>
  </si>
  <si>
    <t>Do you need it? ตอน 3</t>
  </si>
  <si>
    <t>Inversion 1</t>
  </si>
  <si>
    <t>Inversion 2</t>
  </si>
  <si>
    <t>Present Subjective Mood 1</t>
  </si>
  <si>
    <t>Present Subjective Mood 2</t>
  </si>
  <si>
    <t>ครูวรวรรณ ปาริจฉัตต์</t>
  </si>
  <si>
    <t>ครูภัทรพงษ์พันธ์ มงคลจอนกุล</t>
  </si>
  <si>
    <t>โรงเรียนสามเสนวิทยาลัย</t>
  </si>
  <si>
    <t>โยนิโสมนสิการ ตอน 2</t>
  </si>
  <si>
    <t>การบริหารจิตและเจริญปัญญา ตอนที่ 1</t>
  </si>
  <si>
    <t>การบริหารจิตและเจริญปัญญา ตอนที่ 2</t>
  </si>
  <si>
    <t>การเมืองการปกครอง องค์ประกอบและรูปแบบของรัฐ</t>
  </si>
  <si>
    <t>การเมืองการปกครอง รูปแบบการปกครอง</t>
  </si>
  <si>
    <t>การเมืองการปกครอง ประวัติศาสตร์การเมืองการปกครองไทย</t>
  </si>
  <si>
    <t>การเมืองการปกครอง การเมืองการปกครองของไทย</t>
  </si>
  <si>
    <t>การกำหนดราคา
ตามอุปสงค์ - อุปทาน</t>
  </si>
  <si>
    <t>บทบาทของรัฐ
ในการแทรกแซงราคา</t>
  </si>
  <si>
    <t>เศรษฐกิจพอเพียง
และระบบสหกรณ์</t>
  </si>
  <si>
    <t>นโยบายการเงิน 
(เงินฝืด - เงินเฟ้อ)</t>
  </si>
  <si>
    <t>อารยธรรมโลกตะวันออก จีนและอินเดีย
อารยธรรมจีน</t>
  </si>
  <si>
    <t>อารยธรรมโลกตะวันออก จีนและอินเดีย
อารยธรรมอินเดีย</t>
  </si>
  <si>
    <t>การเคลื่อนตัว
ของแผ่นเปลือกโลก</t>
  </si>
  <si>
    <t>แผ่นดินไหว</t>
  </si>
  <si>
    <t>ภูเขาไฟ</t>
  </si>
  <si>
    <t>https://www.youtube.com/watch?v=s7p6my4emXg</t>
  </si>
  <si>
    <t>ณภัทรารัตน์ ถิรภัคเขมณัฎฐ์</t>
  </si>
  <si>
    <t>ศิริประภา วิบูลย์ศิริกุล</t>
  </si>
  <si>
    <t>ตระการรัตน์ สัตยะยุกต์</t>
  </si>
  <si>
    <t>https://www.youtube.com/watch?v=YTbeJ0NfWCY</t>
  </si>
  <si>
    <t>เพ็ญพิศ โสติศาลากร</t>
  </si>
  <si>
    <t>วันเฉลิม อุดมทวี</t>
  </si>
  <si>
    <t>https://www.youtube.com/watch?v=g3UEpww2BaM</t>
  </si>
  <si>
    <t>https://www.youtube.com/watch?v=Ovixeic5PZk</t>
  </si>
  <si>
    <t>รร.เตรียมอุดมศึกษาน้อมเกล้า</t>
  </si>
  <si>
    <t>https://www.youtube.com/watch?v=_uCtkSMyfFc</t>
  </si>
  <si>
    <t>เตรียมอุดมศึกษาน้อมเกล้า</t>
  </si>
  <si>
    <t>https://www.youtube.com/watch?v=xi4iVXZzdAs</t>
  </si>
  <si>
    <t>สุรวิทยาคาร</t>
  </si>
  <si>
    <t>https://www.youtube.com/watch?v=nfn1cNofhnQ</t>
  </si>
  <si>
    <t>https://www.youtube.com/watch?v=ldROre9HX4c</t>
  </si>
  <si>
    <t>สุรินทร์</t>
  </si>
  <si>
    <t>https://www.youtube.com/watch?v=1_gRIDSgv8Y</t>
  </si>
  <si>
    <t>https://www.youtube.com/watch?v=aVBHkoyVy88</t>
  </si>
  <si>
    <t>https://www.youtube.com/watch?v=UdbJ9vRuhK0</t>
  </si>
  <si>
    <t>https://www.youtube.com/watch?v=JyUD8IxjaMc</t>
  </si>
  <si>
    <t>https://www.youtube.com/watch?v=xT3o7Bv2KNc</t>
  </si>
  <si>
    <t>https://www.youtube.com/watch?v=3T2N9s28DwM</t>
  </si>
  <si>
    <t>https://www.youtube.com/watch?v=QUJFdcgeTiM</t>
  </si>
  <si>
    <t>https://www.youtube.com/watch?v=rihoy2TL3Ag</t>
  </si>
  <si>
    <t>https://www.youtube.com/watch?v=w6XLdXYguBg</t>
  </si>
  <si>
    <t>https://www.youtube.com/watch?v=J3i7HJdRkkk</t>
  </si>
  <si>
    <t>https://www.youtube.com/watch?v=F14rE6OPf8c</t>
  </si>
  <si>
    <t>https://www.youtube.com/watch?v=XSCGg7ToGNQ</t>
  </si>
  <si>
    <t>https://www.youtube.com/watch?v=5yAQ2lhRlWQ</t>
  </si>
  <si>
    <t>https://www.youtube.com/watch?v=nxNVVZRsnnI</t>
  </si>
  <si>
    <t>https://www.youtube.com/watch?v=fDyoa-9TYPY</t>
  </si>
  <si>
    <t>https://www.youtube.com/watch?v=cKAJw0A5_wM</t>
  </si>
  <si>
    <t>https://www.youtube.com/watch?v=0Fq3qlq6Rn4</t>
  </si>
  <si>
    <t>ศาสนาสากล - พุทธศาสนา ตอน 2</t>
  </si>
  <si>
    <t>ศาสนาสากล - คริสต์ศาสนา ตอน 3</t>
  </si>
  <si>
    <t>ศาสนาสากล - อิสลาม ตอน 4</t>
  </si>
  <si>
    <t>กฎหมายน่ารู้ (กฎหมายแพ่ง) ตอนที่ 1</t>
  </si>
  <si>
    <t>กฎหมายน่ารู้ (กฎหมายแพ่ง) ตอนที่ 2</t>
  </si>
  <si>
    <t>กฎหมายอาญา ตอน 2</t>
  </si>
  <si>
    <t>นโยบายการเงิน
และการคลัง</t>
  </si>
  <si>
    <t>ตัวชี้วัดการเจริญเติบโต
ทางเศรษฐกิจ</t>
  </si>
  <si>
    <t>การค้าและ
การลงทุนระหว่างประเทศ</t>
  </si>
  <si>
    <t>การรวมกลุ่มทาง
เศรษฐกิจที่สำคัญ</t>
  </si>
  <si>
    <t>การค้นพบและการสำรวจ     เส้นทางเดินเรือ</t>
  </si>
  <si>
    <t>หลักฐานทางประวัติศาสตร์ไทย ตอน 1</t>
  </si>
  <si>
    <t>หลักฐานทางประวัติศาสตร์ไทย ตอน 2</t>
  </si>
  <si>
    <t>ยุคฟื้นฟูศิลปวิทยาการ ตอน 1</t>
  </si>
  <si>
    <t>ยุคฟื้นฟูศิลปวิทยาการ ตอน 2</t>
  </si>
  <si>
    <t>การปฎิวัติอุตสาหกรรม</t>
  </si>
  <si>
    <t>นักปรัชญาแนวคิดประชาธิปไตยสมัยภูมิธรรม</t>
  </si>
  <si>
    <t>มาตรการป้องกัน
ปัญหาสิ่งแวดล้อมโลก</t>
  </si>
  <si>
    <t>องค์กรความร่วมมือในการแก้ไขปัญหาสิ่งแวดล้อม</t>
  </si>
  <si>
    <t>การอนุรักษ์ทรัพยากรธรรมชาติ</t>
  </si>
  <si>
    <t>พระเจ้าอยู่หัวกับ
การจัดการทรัพยากรน้ำ</t>
  </si>
  <si>
    <t>วไลรัตน์ พุกนานนท์</t>
  </si>
  <si>
    <t>มลิวัลย์ อุดมพันธ์</t>
  </si>
  <si>
    <t>ชรินทร์ อุนะพำนัก</t>
  </si>
  <si>
    <t>จุรีย์ เหมือนขาว</t>
  </si>
  <si>
    <t>ครูณัฏฐ์ชฎิล มาอิ่นแก้ว</t>
  </si>
  <si>
    <t>พรทิพย์ เพิ่มประเสริฐ</t>
  </si>
  <si>
    <t>ณัฏฐเมธร์ ดุลคนิต</t>
  </si>
  <si>
    <t>จุไรรัตน์ เกษศิลป์</t>
  </si>
  <si>
    <t xml:space="preserve">รร.สวนกุหลาบวิทยาลัย </t>
  </si>
  <si>
    <t xml:space="preserve">โรงเรียนสามเสนวิทยาลัย </t>
  </si>
  <si>
    <t>โรงเรียนลานสักวิทยา</t>
  </si>
  <si>
    <t>https://www.youtube.com/watch?v=Tz6EioYOURM</t>
  </si>
  <si>
    <t>https://www.youtube.com/watch?v=0yVWgrF2jVA</t>
  </si>
  <si>
    <t>https://www.youtube.com/watch?v=wdlOHthED-o</t>
  </si>
  <si>
    <t>https://www.youtube.com/watch?v=vt5kudYfk6o</t>
  </si>
  <si>
    <t>https://www.youtube.com/watch?v=f0qwrKLQ4m8</t>
  </si>
  <si>
    <t>https://www.youtube.com/watch?v=zcpLmJOnfbU</t>
  </si>
  <si>
    <t>https://www.youtube.com/watch?v=vgVeeESoBJw</t>
  </si>
  <si>
    <t>https://www.youtube.com/watch?v=ANmDOU6xot8</t>
  </si>
  <si>
    <t>https://www.youtube.com/watch?v=mQ4t-OE-CJo</t>
  </si>
  <si>
    <t>https://www.youtube.com/watch?v=RsPhQfb_x_4</t>
  </si>
  <si>
    <t>https://www.youtube.com/watch?v=G_Q0uRupqjc</t>
  </si>
  <si>
    <t>https://www.youtube.com/watch?v=VZetRbxoxZs</t>
  </si>
  <si>
    <t>https://www.youtube.com/watch?v=5HRWs-SASCg</t>
  </si>
  <si>
    <t>https://www.youtube.com/watch?v=Ekm8GgWG88Y</t>
  </si>
  <si>
    <t>https://www.youtube.com/watch?v=cczNgxUMmfs</t>
  </si>
  <si>
    <t>https://www.youtube.com/watch?v=IklWCPknjtY</t>
  </si>
  <si>
    <t>https://www.youtube.com/watch?v=9xTP9MVWbGE</t>
  </si>
  <si>
    <t>https://www.youtube.com/watch?v=8rcdYqkvBBI</t>
  </si>
  <si>
    <t>https://www.youtube.com/watch?v=2r6N1y6nF_I</t>
  </si>
  <si>
    <t>https://www.youtube.com/watch?v=dAlk5rje-kQ</t>
  </si>
  <si>
    <t>https://www.youtube.com/watch?v=2C3FlX19pI0</t>
  </si>
  <si>
    <t>https://www.youtube.com/watch?v=b8lS4_jXSBs</t>
  </si>
  <si>
    <t>https://www.youtube.com/watch?v=RXQsxehBAiI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</si>
</sst>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0">
    <font>
      <sz val="14.0"/>
      <color rgb="FF000000"/>
      <name val="Browalliaupc"/>
    </font>
    <font>
      <sz val="18.0"/>
      <color rgb="FF000000"/>
      <name val="Arial"/>
    </font>
    <font/>
    <font>
      <sz val="12.0"/>
      <color rgb="FF000000"/>
      <name val="Arial"/>
    </font>
    <font>
      <b/>
      <sz val="24.0"/>
      <name val="Browallia new"/>
    </font>
    <font>
      <sz val="11.0"/>
      <color rgb="FF000000"/>
      <name val="Tahoma"/>
    </font>
    <font>
      <b/>
      <sz val="16.0"/>
      <name val="Browallia new"/>
    </font>
    <font>
      <sz val="11.0"/>
      <color rgb="FF000000"/>
      <name val="Arial"/>
    </font>
    <font>
      <b/>
      <u/>
      <sz val="12.0"/>
      <color rgb="FF000000"/>
      <name val="Arial"/>
    </font>
    <font>
      <u/>
      <sz val="14.0"/>
      <color rgb="FF0000FF"/>
      <name val="Browallia new"/>
    </font>
    <font>
      <b/>
      <u/>
      <sz val="12.0"/>
      <color rgb="FF000000"/>
      <name val="Arial"/>
    </font>
    <font>
      <b/>
      <u/>
      <sz val="12.0"/>
      <color rgb="FF000000"/>
      <name val="Arial"/>
    </font>
    <font>
      <b/>
      <sz val="14.0"/>
      <name val="Browallia new"/>
    </font>
    <font>
      <b/>
      <u/>
      <sz val="12.0"/>
      <color rgb="FF000000"/>
      <name val="Arial"/>
    </font>
    <font>
      <b/>
      <u/>
      <sz val="12.0"/>
      <color rgb="FF000000"/>
      <name val="Arial"/>
    </font>
    <font>
      <b/>
      <sz val="12.0"/>
      <color rgb="FF000000"/>
      <name val="Arial"/>
    </font>
    <font>
      <sz val="12.0"/>
      <name val="Arial"/>
    </font>
    <font>
      <b/>
      <u/>
      <sz val="11.0"/>
      <color rgb="FF000000"/>
      <name val="Browallia new"/>
    </font>
    <font>
      <sz val="11.0"/>
      <color rgb="FF000000"/>
      <name val="Browallia new"/>
    </font>
    <font>
      <sz val="12.0"/>
      <color rgb="FFFF0000"/>
      <name val="Browallia new"/>
    </font>
    <font>
      <u/>
      <sz val="12.0"/>
      <color rgb="FF0000FF"/>
      <name val="Browallia new"/>
    </font>
    <font>
      <u/>
      <sz val="12.0"/>
      <color rgb="FF000000"/>
      <name val="Arial"/>
    </font>
    <font>
      <u/>
      <sz val="12.0"/>
      <color rgb="FF000000"/>
      <name val="Arial"/>
    </font>
    <font>
      <sz val="14.0"/>
      <color rgb="FF000000"/>
      <name val="Tahoma"/>
    </font>
    <font>
      <sz val="14.0"/>
      <name val="Browallia new"/>
    </font>
    <font>
      <u/>
      <sz val="12.0"/>
      <color rgb="FF000000"/>
      <name val="Arial"/>
    </font>
    <font>
      <sz val="16.0"/>
      <name val="Browallia new"/>
    </font>
    <font>
      <u/>
      <sz val="12.0"/>
      <color rgb="FF0000FF"/>
      <name val="Arial"/>
    </font>
    <font>
      <u/>
      <sz val="12.0"/>
      <color rgb="FF000000"/>
      <name val="Arial"/>
    </font>
    <font>
      <u/>
      <sz val="12.0"/>
      <color rgb="FF000000"/>
      <name val="Arial"/>
    </font>
    <font>
      <u/>
      <sz val="12.0"/>
      <color rgb="FF000000"/>
      <name val="Arial"/>
    </font>
    <font>
      <u/>
      <sz val="12.0"/>
      <color rgb="FF0000FF"/>
      <name val="Arial"/>
    </font>
    <font>
      <u/>
      <sz val="12.0"/>
      <color rgb="FF000000"/>
      <name val="Arial"/>
    </font>
    <font>
      <u/>
      <sz val="12.0"/>
      <color rgb="FF0000FF"/>
      <name val="Arial"/>
    </font>
    <font>
      <u/>
      <sz val="12.0"/>
      <color rgb="FF0000FF"/>
      <name val="Arial"/>
    </font>
    <font>
      <u/>
      <sz val="12.0"/>
      <color rgb="FF000000"/>
      <name val="Arial"/>
    </font>
    <font>
      <u/>
      <sz val="12.0"/>
      <color rgb="FF000000"/>
      <name val="Arial"/>
    </font>
    <font>
      <u/>
      <sz val="12.0"/>
      <color rgb="FF000000"/>
      <name val="Arial"/>
    </font>
    <font>
      <u/>
      <sz val="12.0"/>
      <color rgb="FF000000"/>
      <name val="Arial"/>
    </font>
    <font>
      <u/>
      <sz val="12.0"/>
      <color rgb="FF000000"/>
      <name val="Arial"/>
    </font>
    <font>
      <b/>
      <sz val="14.0"/>
      <color rgb="FFFF0000"/>
      <name val="Browallia new"/>
    </font>
    <font>
      <b/>
      <sz val="16.0"/>
      <color rgb="FFFF0000"/>
      <name val="Browallia new"/>
    </font>
    <font>
      <u/>
      <sz val="12.0"/>
      <color rgb="FF1155CC"/>
      <name val="Arial"/>
    </font>
    <font>
      <b/>
      <sz val="11.0"/>
      <color rgb="FF000000"/>
      <name val="Arial"/>
    </font>
    <font>
      <b/>
      <u/>
      <sz val="12.0"/>
      <color rgb="FF000000"/>
      <name val="Arial"/>
    </font>
    <font>
      <u/>
      <sz val="12.0"/>
      <color rgb="FF1155CC"/>
      <name val="'Arial'"/>
    </font>
    <font>
      <u/>
      <sz val="12.0"/>
      <color rgb="FF0000FF"/>
      <name val="Arial"/>
    </font>
    <font>
      <u/>
      <sz val="12.0"/>
      <color rgb="FF0000FF"/>
      <name val="Arial"/>
    </font>
    <font>
      <u/>
      <sz val="14.0"/>
      <color rgb="FF0000FF"/>
      <name val="Arial"/>
    </font>
    <font>
      <u/>
      <sz val="12.0"/>
      <color rgb="FF1155CC"/>
      <name val="Arial"/>
    </font>
    <font>
      <u/>
      <sz val="12.0"/>
      <color rgb="FF0000FF"/>
      <name val="Arial"/>
    </font>
    <font>
      <b/>
      <u/>
      <sz val="12.0"/>
      <color rgb="FF000000"/>
      <name val="Arial"/>
    </font>
    <font>
      <b/>
      <u/>
      <sz val="12.0"/>
      <color rgb="FF000000"/>
      <name val="Arial"/>
    </font>
    <font>
      <b/>
      <u/>
      <sz val="12.0"/>
      <color rgb="FF000000"/>
      <name val="Arial"/>
    </font>
    <font>
      <u/>
      <sz val="12.0"/>
      <color rgb="FF0000FF"/>
      <name val="Arial"/>
    </font>
    <font>
      <u/>
      <sz val="12.0"/>
      <color rgb="FF0000FF"/>
    </font>
    <font>
      <u/>
      <sz val="12.0"/>
      <color rgb="FF000000"/>
      <name val="Arial"/>
    </font>
    <font>
      <b/>
      <sz val="12.0"/>
      <name val="Arial"/>
    </font>
    <font>
      <u/>
      <sz val="12.0"/>
      <color rgb="FF1155CC"/>
      <name val="Arial"/>
    </font>
    <font>
      <u/>
      <sz val="12.0"/>
      <color rgb="FF0000FF"/>
      <name val="Arial"/>
    </font>
    <font>
      <u/>
      <sz val="12.0"/>
      <color rgb="FF000000"/>
      <name val="Arial"/>
    </font>
    <font>
      <u/>
      <sz val="12.0"/>
      <color rgb="FF1155CC"/>
      <name val="Arial"/>
    </font>
    <font>
      <u/>
      <sz val="12.0"/>
      <color rgb="FF0000FF"/>
      <name val="Arial"/>
    </font>
    <font>
      <u/>
      <sz val="12.0"/>
      <color rgb="FF0000FF"/>
      <name val="Arial"/>
    </font>
    <font>
      <b/>
      <u/>
      <sz val="12.0"/>
      <color rgb="FF000000"/>
      <name val="Arial"/>
    </font>
    <font>
      <u/>
      <sz val="12.0"/>
      <color rgb="FF0000FF"/>
      <name val="Arial"/>
    </font>
    <font>
      <u/>
      <sz val="12.0"/>
      <color rgb="FF0000FF"/>
      <name val="Arial"/>
    </font>
    <font>
      <u/>
      <sz val="14.0"/>
      <color rgb="FF000000"/>
      <name val="Arial"/>
    </font>
    <font>
      <u/>
      <sz val="12.0"/>
      <color rgb="FF000000"/>
      <name val="'Arial'"/>
    </font>
    <font>
      <u/>
      <sz val="12.0"/>
      <color rgb="FF0000FF"/>
      <name val="Arial"/>
    </font>
    <font>
      <b/>
      <sz val="14.0"/>
      <color rgb="FF000000"/>
      <name val="Arial"/>
    </font>
    <font>
      <u/>
      <sz val="12.0"/>
      <color rgb="FF0000FF"/>
      <name val="Arial"/>
    </font>
    <font>
      <u/>
      <sz val="12.0"/>
      <color rgb="FF0000FF"/>
      <name val="Arial"/>
    </font>
    <font>
      <u/>
      <sz val="12.0"/>
      <color rgb="FF0000FF"/>
      <name val="Arial"/>
    </font>
    <font>
      <u/>
      <sz val="12.0"/>
      <color rgb="FF0000FF"/>
      <name val="Arial"/>
    </font>
    <font>
      <u/>
      <sz val="12.0"/>
      <color rgb="FF0000FF"/>
      <name val="Arial"/>
    </font>
    <font>
      <b/>
      <u/>
      <sz val="12.0"/>
      <color rgb="FF000000"/>
      <name val="Arial"/>
    </font>
    <font>
      <b/>
      <u/>
      <sz val="12.0"/>
      <color rgb="FF0000FF"/>
      <name val="Arial"/>
    </font>
    <font>
      <u/>
      <sz val="12.0"/>
      <color rgb="FF000000"/>
      <name val="Arial"/>
    </font>
    <font>
      <u/>
      <sz val="12.0"/>
      <color rgb="FF000000"/>
      <name val="Arial"/>
    </font>
    <font>
      <sz val="12.0"/>
      <color rgb="FF000000"/>
      <name val="'Arial'"/>
    </font>
    <font>
      <u/>
      <sz val="12.0"/>
      <color rgb="FF000000"/>
      <name val="Arial"/>
    </font>
    <font>
      <u/>
      <sz val="12.0"/>
      <color rgb="FF1155CC"/>
      <name val="'Arial'"/>
    </font>
    <font>
      <u/>
      <sz val="12.0"/>
      <color rgb="FF1155CC"/>
      <name val="'Arial'"/>
    </font>
    <font>
      <u/>
      <color rgb="FF000000"/>
    </font>
    <font>
      <u/>
      <sz val="12.0"/>
      <color rgb="FF0000FF"/>
      <name val="Arial"/>
    </font>
    <font>
      <b/>
      <u/>
      <sz val="12.0"/>
      <color rgb="FF000000"/>
      <name val="Arial"/>
    </font>
    <font>
      <u/>
      <sz val="12.0"/>
      <color rgb="FF0000FF"/>
    </font>
    <font>
      <u/>
      <sz val="12.0"/>
      <color rgb="FF000000"/>
      <name val="Arial"/>
    </font>
    <font>
      <u/>
      <sz val="12.0"/>
      <color rgb="FF0000FF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E599"/>
        <bgColor rgb="FFFFE599"/>
      </patternFill>
    </fill>
    <fill>
      <patternFill patternType="solid">
        <fgColor rgb="FFC9DAF8"/>
        <bgColor rgb="FFC9DAF8"/>
      </patternFill>
    </fill>
    <fill>
      <patternFill patternType="solid">
        <fgColor rgb="FFFBD4B4"/>
        <bgColor rgb="FFFBD4B4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0E0E3"/>
        <bgColor rgb="FFD0E0E3"/>
      </patternFill>
    </fill>
  </fills>
  <borders count="35">
    <border>
      <left/>
      <right/>
      <top/>
      <bottom/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/>
    </border>
    <border>
      <left/>
      <right style="medium">
        <color rgb="FF000000"/>
      </right>
      <top/>
      <bottom/>
    </border>
    <border>
      <left/>
      <right/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39">
    <xf borderId="0" fillId="0" fontId="0" numFmtId="0" xfId="0" applyAlignment="1" applyFont="1">
      <alignment/>
    </xf>
    <xf borderId="0" fillId="0" fontId="1" numFmtId="49" xfId="0" applyAlignment="1" applyFont="1" applyNumberFormat="1">
      <alignment horizontal="left" vertical="top"/>
    </xf>
    <xf borderId="0" fillId="0" fontId="2" numFmtId="0" xfId="0" applyAlignment="1" applyFont="1">
      <alignment vertical="top"/>
    </xf>
    <xf borderId="0" fillId="0" fontId="3" numFmtId="49" xfId="0" applyAlignment="1" applyFont="1" applyNumberFormat="1">
      <alignment horizontal="center" vertical="top" wrapText="1"/>
    </xf>
    <xf borderId="1" fillId="0" fontId="3" numFmtId="49" xfId="0" applyAlignment="1" applyBorder="1" applyFont="1" applyNumberFormat="1">
      <alignment horizontal="center" vertical="top" wrapText="1"/>
    </xf>
    <xf borderId="2" fillId="2" fontId="3" numFmtId="49" xfId="0" applyAlignment="1" applyBorder="1" applyFill="1" applyFont="1" applyNumberFormat="1">
      <alignment horizontal="center" vertical="top" wrapText="1"/>
    </xf>
    <xf borderId="3" fillId="2" fontId="3" numFmtId="49" xfId="0" applyAlignment="1" applyBorder="1" applyFont="1" applyNumberFormat="1">
      <alignment horizontal="center" vertical="top" wrapText="1"/>
    </xf>
    <xf borderId="4" fillId="2" fontId="3" numFmtId="49" xfId="0" applyAlignment="1" applyBorder="1" applyFont="1" applyNumberFormat="1">
      <alignment horizontal="center" vertical="top" wrapText="1"/>
    </xf>
    <xf borderId="0" fillId="0" fontId="3" numFmtId="49" xfId="0" applyAlignment="1" applyFont="1" applyNumberFormat="1">
      <alignment horizontal="left" vertical="top" wrapText="1"/>
    </xf>
    <xf borderId="5" fillId="0" fontId="4" numFmtId="0" xfId="0" applyAlignment="1" applyBorder="1" applyFont="1">
      <alignment horizontal="left" vertical="center"/>
    </xf>
    <xf borderId="6" fillId="0" fontId="3" numFmtId="49" xfId="0" applyAlignment="1" applyBorder="1" applyFont="1" applyNumberFormat="1">
      <alignment horizontal="center" vertical="top" wrapText="1"/>
    </xf>
    <xf borderId="7" fillId="0" fontId="2" numFmtId="0" xfId="0" applyBorder="1" applyFont="1"/>
    <xf borderId="8" fillId="2" fontId="3" numFmtId="49" xfId="0" applyAlignment="1" applyBorder="1" applyFont="1" applyNumberFormat="1">
      <alignment horizontal="center" vertical="top" wrapText="1"/>
    </xf>
    <xf borderId="4" fillId="3" fontId="3" numFmtId="49" xfId="0" applyAlignment="1" applyBorder="1" applyFill="1" applyFont="1" applyNumberFormat="1">
      <alignment horizontal="center" vertical="top" wrapText="1"/>
    </xf>
    <xf borderId="9" fillId="2" fontId="3" numFmtId="49" xfId="0" applyAlignment="1" applyBorder="1" applyFont="1" applyNumberFormat="1">
      <alignment horizontal="center" vertical="top" wrapText="1"/>
    </xf>
    <xf borderId="4" fillId="0" fontId="5" numFmtId="0" xfId="0" applyAlignment="1" applyBorder="1" applyFont="1">
      <alignment horizontal="center" vertical="top" wrapText="1"/>
    </xf>
    <xf borderId="2" fillId="2" fontId="3" numFmtId="49" xfId="0" applyAlignment="1" applyBorder="1" applyFont="1" applyNumberFormat="1">
      <alignment horizontal="center" vertical="top" wrapText="1"/>
    </xf>
    <xf borderId="10" fillId="0" fontId="5" numFmtId="0" xfId="0" applyAlignment="1" applyBorder="1" applyFont="1">
      <alignment horizontal="center" vertical="top" wrapText="1"/>
    </xf>
    <xf borderId="11" fillId="0" fontId="2" numFmtId="0" xfId="0" applyBorder="1" applyFont="1"/>
    <xf borderId="6" fillId="0" fontId="3" numFmtId="0" xfId="0" applyAlignment="1" applyBorder="1" applyFont="1">
      <alignment horizontal="center" vertical="top" wrapText="1"/>
    </xf>
    <xf borderId="12" fillId="4" fontId="6" numFmtId="0" xfId="0" applyAlignment="1" applyBorder="1" applyFill="1" applyFont="1">
      <alignment horizontal="center" vertical="center"/>
    </xf>
    <xf borderId="4" fillId="0" fontId="3" numFmtId="0" xfId="0" applyAlignment="1" applyBorder="1" applyFont="1">
      <alignment horizontal="center" vertical="top" wrapText="1"/>
    </xf>
    <xf borderId="2" fillId="4" fontId="6" numFmtId="0" xfId="0" applyAlignment="1" applyBorder="1" applyFont="1">
      <alignment horizontal="center" vertical="center"/>
    </xf>
    <xf borderId="3" fillId="0" fontId="5" numFmtId="0" xfId="0" applyAlignment="1" applyBorder="1" applyFont="1">
      <alignment horizontal="center" vertical="top" wrapText="1"/>
    </xf>
    <xf borderId="13" fillId="4" fontId="6" numFmtId="0" xfId="0" applyAlignment="1" applyBorder="1" applyFont="1">
      <alignment horizontal="center" vertical="center"/>
    </xf>
    <xf borderId="3" fillId="0" fontId="5" numFmtId="0" xfId="0" applyAlignment="1" applyBorder="1" applyFont="1">
      <alignment horizontal="center" vertical="top" wrapText="1"/>
    </xf>
    <xf borderId="3" fillId="0" fontId="3" numFmtId="0" xfId="0" applyAlignment="1" applyBorder="1" applyFont="1">
      <alignment horizontal="center" vertical="top" wrapText="1"/>
    </xf>
    <xf borderId="14" fillId="0" fontId="2" numFmtId="0" xfId="0" applyBorder="1" applyFont="1"/>
    <xf borderId="15" fillId="0" fontId="3" numFmtId="0" xfId="0" applyAlignment="1" applyBorder="1" applyFont="1">
      <alignment horizontal="center" vertical="top" wrapText="1"/>
    </xf>
    <xf borderId="6" fillId="0" fontId="2" numFmtId="0" xfId="0" applyBorder="1" applyFont="1"/>
    <xf borderId="4" fillId="0" fontId="7" numFmtId="0" xfId="0" applyAlignment="1" applyBorder="1" applyFont="1">
      <alignment horizontal="center" vertical="top" wrapText="1"/>
    </xf>
    <xf borderId="6" fillId="0" fontId="7" numFmtId="49" xfId="0" applyAlignment="1" applyBorder="1" applyFont="1" applyNumberFormat="1">
      <alignment horizontal="center" vertical="top" wrapText="1"/>
    </xf>
    <xf borderId="16" fillId="4" fontId="6" numFmtId="0" xfId="0" applyAlignment="1" applyBorder="1" applyFont="1">
      <alignment horizontal="center" vertical="top"/>
    </xf>
    <xf borderId="15" fillId="5" fontId="6" numFmtId="0" xfId="0" applyAlignment="1" applyBorder="1" applyFill="1" applyFont="1">
      <alignment horizontal="center" vertical="top"/>
    </xf>
    <xf borderId="6" fillId="0" fontId="8" numFmtId="0" xfId="0" applyAlignment="1" applyBorder="1" applyFont="1">
      <alignment horizontal="center" vertical="top" wrapText="1"/>
    </xf>
    <xf borderId="4" fillId="0" fontId="9" numFmtId="0" xfId="0" applyAlignment="1" applyBorder="1" applyFont="1">
      <alignment horizontal="center" vertical="top" wrapText="1"/>
    </xf>
    <xf borderId="0" fillId="0" fontId="10" numFmtId="49" xfId="0" applyAlignment="1" applyFont="1" applyNumberFormat="1">
      <alignment horizontal="center" vertical="top" wrapText="1"/>
    </xf>
    <xf borderId="1" fillId="0" fontId="11" numFmtId="0" xfId="0" applyAlignment="1" applyBorder="1" applyFont="1">
      <alignment horizontal="center" vertical="top" wrapText="1"/>
    </xf>
    <xf borderId="4" fillId="0" fontId="12" numFmtId="0" xfId="0" applyAlignment="1" applyBorder="1" applyFont="1">
      <alignment horizontal="center" vertical="top" wrapText="1"/>
    </xf>
    <xf borderId="6" fillId="0" fontId="13" numFmtId="0" xfId="0" applyAlignment="1" applyBorder="1" applyFont="1">
      <alignment horizontal="center" vertical="top" wrapText="1"/>
    </xf>
    <xf borderId="0" fillId="0" fontId="14" numFmtId="0" xfId="0" applyAlignment="1" applyFont="1">
      <alignment horizontal="center" vertical="top" wrapText="1"/>
    </xf>
    <xf borderId="4" fillId="0" fontId="12" numFmtId="0" xfId="0" applyAlignment="1" applyBorder="1" applyFont="1">
      <alignment horizontal="center" vertical="top"/>
    </xf>
    <xf borderId="14" fillId="0" fontId="15" numFmtId="0" xfId="0" applyAlignment="1" applyBorder="1" applyFont="1">
      <alignment horizontal="center" vertical="top" wrapText="1"/>
    </xf>
    <xf borderId="15" fillId="0" fontId="12" numFmtId="0" xfId="0" applyAlignment="1" applyBorder="1" applyFont="1">
      <alignment horizontal="center" vertical="top" wrapText="1"/>
    </xf>
    <xf borderId="1" fillId="0" fontId="15" numFmtId="0" xfId="0" applyAlignment="1" applyBorder="1" applyFont="1">
      <alignment horizontal="center" vertical="top" wrapText="1"/>
    </xf>
    <xf borderId="17" fillId="0" fontId="12" numFmtId="0" xfId="0" applyAlignment="1" applyBorder="1" applyFont="1">
      <alignment horizontal="center" vertical="top"/>
    </xf>
    <xf borderId="6" fillId="0" fontId="15" numFmtId="0" xfId="0" applyAlignment="1" applyBorder="1" applyFont="1">
      <alignment horizontal="center" vertical="top" wrapText="1"/>
    </xf>
    <xf borderId="18" fillId="0" fontId="2" numFmtId="0" xfId="0" applyBorder="1" applyFont="1"/>
    <xf borderId="14" fillId="0" fontId="15" numFmtId="0" xfId="0" applyAlignment="1" applyBorder="1" applyFont="1">
      <alignment horizontal="center" vertical="top" wrapText="1"/>
    </xf>
    <xf borderId="0" fillId="0" fontId="15" numFmtId="0" xfId="0" applyAlignment="1" applyFont="1">
      <alignment horizontal="center" vertical="top" wrapText="1"/>
    </xf>
    <xf borderId="6" fillId="0" fontId="15" numFmtId="49" xfId="0" applyAlignment="1" applyBorder="1" applyFont="1" applyNumberFormat="1">
      <alignment horizontal="center" vertical="top" wrapText="1"/>
    </xf>
    <xf borderId="19" fillId="0" fontId="2" numFmtId="0" xfId="0" applyBorder="1" applyFont="1"/>
    <xf borderId="0" fillId="0" fontId="16" numFmtId="49" xfId="0" applyAlignment="1" applyFont="1" applyNumberFormat="1">
      <alignment horizontal="center" vertical="top"/>
    </xf>
    <xf borderId="1" fillId="0" fontId="16" numFmtId="49" xfId="0" applyAlignment="1" applyBorder="1" applyFont="1" applyNumberFormat="1">
      <alignment horizontal="center" vertical="top"/>
    </xf>
    <xf borderId="6" fillId="0" fontId="16" numFmtId="49" xfId="0" applyAlignment="1" applyBorder="1" applyFont="1" applyNumberFormat="1">
      <alignment horizontal="center" vertical="top"/>
    </xf>
    <xf borderId="6" fillId="0" fontId="15" numFmtId="0" xfId="0" applyAlignment="1" applyBorder="1" applyFont="1">
      <alignment horizontal="center" vertical="top" wrapText="1"/>
    </xf>
    <xf borderId="2" fillId="0" fontId="17" numFmtId="0" xfId="0" applyAlignment="1" applyBorder="1" applyFont="1">
      <alignment horizontal="center" shrinkToFit="1" vertical="center"/>
    </xf>
    <xf borderId="0" fillId="0" fontId="15" numFmtId="0" xfId="0" applyAlignment="1" applyFont="1">
      <alignment horizontal="center" vertical="top" wrapText="1"/>
    </xf>
    <xf borderId="14" fillId="0" fontId="16" numFmtId="49" xfId="0" applyAlignment="1" applyBorder="1" applyFont="1" applyNumberFormat="1">
      <alignment horizontal="center" vertical="top" wrapText="1"/>
    </xf>
    <xf borderId="2" fillId="0" fontId="18" numFmtId="0" xfId="0" applyAlignment="1" applyBorder="1" applyFont="1">
      <alignment shrinkToFit="1"/>
    </xf>
    <xf borderId="14" fillId="0" fontId="3" numFmtId="49" xfId="0" applyAlignment="1" applyBorder="1" applyFont="1" applyNumberFormat="1">
      <alignment horizontal="center" vertical="top" wrapText="1"/>
    </xf>
    <xf borderId="2" fillId="0" fontId="19" numFmtId="0" xfId="0" applyAlignment="1" applyBorder="1" applyFont="1">
      <alignment horizontal="center" vertical="center"/>
    </xf>
    <xf borderId="14" fillId="0" fontId="3" numFmtId="49" xfId="0" applyAlignment="1" applyBorder="1" applyFont="1" applyNumberFormat="1">
      <alignment horizontal="center" vertical="top" wrapText="1"/>
    </xf>
    <xf borderId="2" fillId="0" fontId="6" numFmtId="0" xfId="0" applyAlignment="1" applyBorder="1" applyFont="1">
      <alignment horizontal="center" shrinkToFit="1" vertical="top"/>
    </xf>
    <xf borderId="0" fillId="0" fontId="16" numFmtId="49" xfId="0" applyAlignment="1" applyFont="1" applyNumberFormat="1">
      <alignment horizontal="center" vertical="top" wrapText="1"/>
    </xf>
    <xf borderId="2" fillId="0" fontId="20" numFmtId="0" xfId="0" applyAlignment="1" applyBorder="1" applyFont="1">
      <alignment shrinkToFit="1" vertical="top"/>
    </xf>
    <xf borderId="6" fillId="0" fontId="16" numFmtId="49" xfId="0" applyAlignment="1" applyBorder="1" applyFont="1" applyNumberFormat="1">
      <alignment horizontal="center" vertical="top" wrapText="1"/>
    </xf>
    <xf borderId="0" fillId="0" fontId="21" numFmtId="49" xfId="0" applyAlignment="1" applyFont="1" applyNumberFormat="1">
      <alignment horizontal="center" vertical="top" wrapText="1"/>
    </xf>
    <xf borderId="13" fillId="0" fontId="6" numFmtId="0" xfId="0" applyAlignment="1" applyBorder="1" applyFont="1">
      <alignment horizontal="center" shrinkToFit="1" vertical="top"/>
    </xf>
    <xf borderId="6" fillId="0" fontId="22" numFmtId="49" xfId="0" applyAlignment="1" applyBorder="1" applyFont="1" applyNumberFormat="1">
      <alignment horizontal="center" vertical="top" wrapText="1"/>
    </xf>
    <xf borderId="0" fillId="0" fontId="16" numFmtId="0" xfId="0" applyAlignment="1" applyFont="1">
      <alignment horizontal="center" vertical="top"/>
    </xf>
    <xf borderId="1" fillId="0" fontId="16" numFmtId="0" xfId="0" applyAlignment="1" applyBorder="1" applyFont="1">
      <alignment horizontal="center" vertical="top"/>
    </xf>
    <xf borderId="4" fillId="5" fontId="6" numFmtId="0" xfId="0" applyAlignment="1" applyBorder="1" applyFont="1">
      <alignment horizontal="center" vertical="top"/>
    </xf>
    <xf borderId="6" fillId="0" fontId="16" numFmtId="0" xfId="0" applyAlignment="1" applyBorder="1" applyFont="1">
      <alignment horizontal="center" vertical="top"/>
    </xf>
    <xf borderId="2" fillId="0" fontId="23" numFmtId="0" xfId="0" applyBorder="1" applyFont="1"/>
    <xf borderId="6" fillId="0" fontId="3" numFmtId="49" xfId="0" applyAlignment="1" applyBorder="1" applyFont="1" applyNumberFormat="1">
      <alignment horizontal="center" vertical="top" wrapText="1"/>
    </xf>
    <xf borderId="20" fillId="0" fontId="24" numFmtId="0" xfId="0" applyAlignment="1" applyBorder="1" applyFont="1">
      <alignment horizontal="center" vertical="top"/>
    </xf>
    <xf borderId="21" fillId="0" fontId="24" numFmtId="0" xfId="0" applyAlignment="1" applyBorder="1" applyFont="1">
      <alignment horizontal="center" vertical="top"/>
    </xf>
    <xf borderId="14" fillId="0" fontId="25" numFmtId="49" xfId="0" applyAlignment="1" applyBorder="1" applyFont="1" applyNumberFormat="1">
      <alignment horizontal="center" vertical="top" wrapText="1"/>
    </xf>
    <xf borderId="20" fillId="0" fontId="2" numFmtId="0" xfId="0" applyBorder="1" applyFont="1"/>
    <xf borderId="2" fillId="0" fontId="26" numFmtId="0" xfId="0" applyAlignment="1" applyBorder="1" applyFont="1">
      <alignment horizontal="center" vertical="top"/>
    </xf>
    <xf borderId="20" fillId="0" fontId="27" numFmtId="0" xfId="0" applyAlignment="1" applyBorder="1" applyFont="1">
      <alignment horizontal="center" vertical="top" wrapText="1"/>
    </xf>
    <xf borderId="13" fillId="0" fontId="26" numFmtId="0" xfId="0" applyAlignment="1" applyBorder="1" applyFont="1">
      <alignment horizontal="center" vertical="top"/>
    </xf>
    <xf borderId="2" fillId="0" fontId="28" numFmtId="49" xfId="0" applyAlignment="1" applyBorder="1" applyFont="1" applyNumberFormat="1">
      <alignment horizontal="center" vertical="top" wrapText="1"/>
    </xf>
    <xf borderId="2" fillId="0" fontId="12" numFmtId="0" xfId="0" applyAlignment="1" applyBorder="1" applyFont="1">
      <alignment horizontal="center" vertical="top" wrapText="1"/>
    </xf>
    <xf borderId="22" fillId="0" fontId="29" numFmtId="49" xfId="0" applyAlignment="1" applyBorder="1" applyFont="1" applyNumberFormat="1">
      <alignment horizontal="center" vertical="top" wrapText="1"/>
    </xf>
    <xf borderId="2" fillId="0" fontId="24" numFmtId="0" xfId="0" applyAlignment="1" applyBorder="1" applyFont="1">
      <alignment horizontal="center" vertical="top"/>
    </xf>
    <xf borderId="19" fillId="0" fontId="30" numFmtId="49" xfId="0" applyAlignment="1" applyBorder="1" applyFont="1" applyNumberFormat="1">
      <alignment horizontal="center" vertical="top" wrapText="1"/>
    </xf>
    <xf borderId="2" fillId="0" fontId="12" numFmtId="0" xfId="0" applyAlignment="1" applyBorder="1" applyFont="1">
      <alignment horizontal="center" vertical="top"/>
    </xf>
    <xf borderId="8" fillId="0" fontId="31" numFmtId="0" xfId="0" applyAlignment="1" applyBorder="1" applyFont="1">
      <alignment horizontal="center" vertical="top" wrapText="1"/>
    </xf>
    <xf borderId="13" fillId="0" fontId="24" numFmtId="0" xfId="0" applyAlignment="1" applyBorder="1" applyFont="1">
      <alignment horizontal="center" vertical="top"/>
    </xf>
    <xf borderId="20" fillId="0" fontId="32" numFmtId="49" xfId="0" applyAlignment="1" applyBorder="1" applyFont="1" applyNumberFormat="1">
      <alignment horizontal="center" vertical="top" wrapText="1"/>
    </xf>
    <xf borderId="2" fillId="0" fontId="6" numFmtId="0" xfId="0" applyAlignment="1" applyBorder="1" applyFont="1">
      <alignment horizontal="center" vertical="top"/>
    </xf>
    <xf borderId="23" fillId="0" fontId="33" numFmtId="0" xfId="0" applyAlignment="1" applyBorder="1" applyFont="1">
      <alignment horizontal="center" vertical="top" wrapText="1"/>
    </xf>
    <xf borderId="2" fillId="0" fontId="3" numFmtId="49" xfId="0" applyAlignment="1" applyBorder="1" applyFont="1" applyNumberFormat="1">
      <alignment horizontal="center" vertical="top" wrapText="1"/>
    </xf>
    <xf borderId="13" fillId="0" fontId="12" numFmtId="0" xfId="0" applyAlignment="1" applyBorder="1" applyFont="1">
      <alignment horizontal="center" vertical="top"/>
    </xf>
    <xf borderId="2" fillId="0" fontId="2" numFmtId="0" xfId="0" applyAlignment="1" applyBorder="1" applyFont="1">
      <alignment/>
    </xf>
    <xf borderId="2" fillId="0" fontId="34" numFmtId="0" xfId="0" applyAlignment="1" applyBorder="1" applyFont="1">
      <alignment horizontal="center" vertical="top" wrapText="1"/>
    </xf>
    <xf borderId="20" fillId="0" fontId="35" numFmtId="49" xfId="0" applyAlignment="1" applyBorder="1" applyFont="1" applyNumberFormat="1">
      <alignment horizontal="center" vertical="top" wrapText="1"/>
    </xf>
    <xf borderId="2" fillId="0" fontId="2" numFmtId="0" xfId="0" applyAlignment="1" applyBorder="1" applyFont="1">
      <alignment vertical="top"/>
    </xf>
    <xf borderId="13" fillId="0" fontId="6" numFmtId="0" xfId="0" applyAlignment="1" applyBorder="1" applyFont="1">
      <alignment horizontal="center" vertical="top"/>
    </xf>
    <xf borderId="2" fillId="0" fontId="12" numFmtId="0" xfId="0" applyAlignment="1" applyBorder="1" applyFont="1">
      <alignment horizontal="center" vertical="top" wrapText="1"/>
    </xf>
    <xf borderId="9" fillId="0" fontId="26" numFmtId="0" xfId="0" applyAlignment="1" applyBorder="1" applyFont="1">
      <alignment horizontal="center" vertical="top"/>
    </xf>
    <xf borderId="23" fillId="0" fontId="26" numFmtId="0" xfId="0" applyAlignment="1" applyBorder="1" applyFont="1">
      <alignment horizontal="center" vertical="top"/>
    </xf>
    <xf borderId="23" fillId="0" fontId="6" numFmtId="0" xfId="0" applyAlignment="1" applyBorder="1" applyFont="1">
      <alignment horizontal="center" vertical="top"/>
    </xf>
    <xf borderId="8" fillId="0" fontId="6" numFmtId="0" xfId="0" applyAlignment="1" applyBorder="1" applyFont="1">
      <alignment horizontal="center" vertical="top"/>
    </xf>
    <xf borderId="19" fillId="0" fontId="36" numFmtId="49" xfId="0" applyAlignment="1" applyBorder="1" applyFont="1" applyNumberFormat="1">
      <alignment horizontal="center" vertical="top" wrapText="1"/>
    </xf>
    <xf borderId="23" fillId="0" fontId="37" numFmtId="49" xfId="0" applyAlignment="1" applyBorder="1" applyFont="1" applyNumberFormat="1">
      <alignment horizontal="center" vertical="top" wrapText="1"/>
    </xf>
    <xf borderId="23" fillId="0" fontId="3" numFmtId="49" xfId="0" applyAlignment="1" applyBorder="1" applyFont="1" applyNumberFormat="1">
      <alignment horizontal="center" vertical="top" wrapText="1"/>
    </xf>
    <xf borderId="9" fillId="0" fontId="6" numFmtId="0" xfId="0" applyAlignment="1" applyBorder="1" applyFont="1">
      <alignment horizontal="center" vertical="top"/>
    </xf>
    <xf borderId="22" fillId="0" fontId="38" numFmtId="49" xfId="0" applyAlignment="1" applyBorder="1" applyFont="1" applyNumberFormat="1">
      <alignment horizontal="center" vertical="top" wrapText="1"/>
    </xf>
    <xf borderId="8" fillId="0" fontId="26" numFmtId="0" xfId="0" applyAlignment="1" applyBorder="1" applyFont="1">
      <alignment horizontal="center" vertical="top"/>
    </xf>
    <xf borderId="8" fillId="0" fontId="39" numFmtId="49" xfId="0" applyAlignment="1" applyBorder="1" applyFont="1" applyNumberFormat="1">
      <alignment horizontal="center" vertical="top" wrapText="1"/>
    </xf>
    <xf borderId="24" fillId="0" fontId="6" numFmtId="0" xfId="0" applyAlignment="1" applyBorder="1" applyFont="1">
      <alignment horizontal="center" vertical="top"/>
    </xf>
    <xf borderId="9" fillId="0" fontId="12" numFmtId="0" xfId="0" applyAlignment="1" applyBorder="1" applyFont="1">
      <alignment horizontal="center" vertical="center" wrapText="1"/>
    </xf>
    <xf borderId="23" fillId="0" fontId="2" numFmtId="0" xfId="0" applyBorder="1" applyFont="1"/>
    <xf borderId="8" fillId="0" fontId="2" numFmtId="0" xfId="0" applyBorder="1" applyFont="1"/>
    <xf borderId="20" fillId="2" fontId="3" numFmtId="49" xfId="0" applyAlignment="1" applyBorder="1" applyFont="1" applyNumberFormat="1">
      <alignment horizontal="center" vertical="top" wrapText="1"/>
    </xf>
    <xf borderId="9" fillId="0" fontId="40" numFmtId="0" xfId="0" applyAlignment="1" applyBorder="1" applyFont="1">
      <alignment horizontal="center" vertical="center" wrapText="1"/>
    </xf>
    <xf borderId="22" fillId="2" fontId="3" numFmtId="49" xfId="0" applyAlignment="1" applyBorder="1" applyFont="1" applyNumberFormat="1">
      <alignment horizontal="center" vertical="top" wrapText="1"/>
    </xf>
    <xf borderId="9" fillId="0" fontId="12" numFmtId="0" xfId="0" applyAlignment="1" applyBorder="1" applyFont="1">
      <alignment horizontal="center" vertical="center"/>
    </xf>
    <xf borderId="20" fillId="2" fontId="3" numFmtId="49" xfId="0" applyAlignment="1" applyBorder="1" applyFont="1" applyNumberFormat="1">
      <alignment horizontal="center" vertical="top" wrapText="1"/>
    </xf>
    <xf borderId="24" fillId="0" fontId="2" numFmtId="0" xfId="0" applyBorder="1" applyFont="1"/>
    <xf borderId="9" fillId="0" fontId="41" numFmtId="0" xfId="0" applyAlignment="1" applyBorder="1" applyFont="1">
      <alignment horizontal="center" vertical="center" wrapText="1"/>
    </xf>
    <xf borderId="3" fillId="0" fontId="3" numFmtId="0" xfId="0" applyAlignment="1" applyBorder="1" applyFont="1">
      <alignment horizontal="center" vertical="top" wrapText="1"/>
    </xf>
    <xf borderId="23" fillId="0" fontId="41" numFmtId="0" xfId="0" applyAlignment="1" applyBorder="1" applyFont="1">
      <alignment horizontal="center" vertical="center" wrapText="1"/>
    </xf>
    <xf borderId="8" fillId="0" fontId="41" numFmtId="0" xfId="0" applyAlignment="1" applyBorder="1" applyFont="1">
      <alignment horizontal="center" vertical="center" wrapText="1"/>
    </xf>
    <xf borderId="8" fillId="0" fontId="6" numFmtId="0" xfId="0" applyAlignment="1" applyBorder="1" applyFont="1">
      <alignment horizontal="center" vertical="top" wrapText="1"/>
    </xf>
    <xf borderId="9" fillId="0" fontId="6" numFmtId="0" xfId="0" applyAlignment="1" applyBorder="1" applyFont="1">
      <alignment horizontal="center" vertical="center"/>
    </xf>
    <xf borderId="20" fillId="0" fontId="3" numFmtId="49" xfId="0" applyAlignment="1" applyBorder="1" applyFont="1" applyNumberFormat="1">
      <alignment horizontal="center" vertical="top" wrapText="1"/>
    </xf>
    <xf borderId="23" fillId="0" fontId="6" numFmtId="0" xfId="0" applyAlignment="1" applyBorder="1" applyFont="1">
      <alignment horizontal="center" vertical="center"/>
    </xf>
    <xf borderId="24" fillId="0" fontId="6" numFmtId="0" xfId="0" applyAlignment="1" applyBorder="1" applyFont="1">
      <alignment horizontal="center" vertical="center"/>
    </xf>
    <xf borderId="9" fillId="0" fontId="12" numFmtId="0" xfId="0" applyAlignment="1" applyBorder="1" applyFont="1">
      <alignment horizontal="center" vertical="top" wrapText="1"/>
    </xf>
    <xf borderId="9" fillId="0" fontId="40" numFmtId="0" xfId="0" applyAlignment="1" applyBorder="1" applyFont="1">
      <alignment horizontal="center" vertical="top" wrapText="1"/>
    </xf>
    <xf borderId="2" fillId="0" fontId="41" numFmtId="0" xfId="0" applyAlignment="1" applyBorder="1" applyFont="1">
      <alignment horizontal="center" vertical="top" wrapText="1"/>
    </xf>
    <xf borderId="9" fillId="0" fontId="41" numFmtId="0" xfId="0" applyAlignment="1" applyBorder="1" applyFont="1">
      <alignment horizontal="center" vertical="top" wrapText="1"/>
    </xf>
    <xf borderId="8" fillId="0" fontId="41" numFmtId="0" xfId="0" applyAlignment="1" applyBorder="1" applyFont="1">
      <alignment horizontal="center" vertical="top" wrapText="1"/>
    </xf>
    <xf borderId="0" fillId="0" fontId="42" numFmtId="49" xfId="0" applyAlignment="1" applyFont="1" applyNumberFormat="1">
      <alignment horizontal="center" vertical="top" wrapText="1"/>
    </xf>
    <xf borderId="2" fillId="2" fontId="3" numFmtId="0" xfId="0" applyAlignment="1" applyBorder="1" applyFont="1">
      <alignment horizontal="center" vertical="top" wrapText="1"/>
    </xf>
    <xf borderId="1" fillId="0" fontId="3" numFmtId="0" xfId="0" applyAlignment="1" applyBorder="1" applyFont="1">
      <alignment horizontal="center" vertical="top" wrapText="1"/>
    </xf>
    <xf borderId="14" fillId="0" fontId="3" numFmtId="0" xfId="0" applyAlignment="1" applyBorder="1" applyFont="1">
      <alignment horizontal="center" vertical="top" wrapText="1"/>
    </xf>
    <xf borderId="6" fillId="0" fontId="3" numFmtId="0" xfId="0" applyAlignment="1" applyBorder="1" applyFont="1">
      <alignment horizontal="center" vertical="top" wrapText="1"/>
    </xf>
    <xf borderId="25" fillId="0" fontId="2" numFmtId="0" xfId="0" applyBorder="1" applyFont="1"/>
    <xf borderId="6" fillId="0" fontId="43" numFmtId="0" xfId="0" applyAlignment="1" applyBorder="1" applyFont="1">
      <alignment horizontal="center" vertical="top" wrapText="1"/>
    </xf>
    <xf borderId="2" fillId="0" fontId="6" numFmtId="0" xfId="0" applyAlignment="1" applyBorder="1" applyFont="1">
      <alignment horizontal="center" vertical="top" wrapText="1"/>
    </xf>
    <xf borderId="1" fillId="0" fontId="43" numFmtId="0" xfId="0" applyAlignment="1" applyBorder="1" applyFont="1">
      <alignment horizontal="center" vertical="top" wrapText="1"/>
    </xf>
    <xf borderId="26" fillId="0" fontId="6" numFmtId="0" xfId="0" applyAlignment="1" applyBorder="1" applyFont="1">
      <alignment horizontal="center" vertical="top"/>
    </xf>
    <xf borderId="0" fillId="0" fontId="16" numFmtId="0" xfId="0" applyAlignment="1" applyFont="1">
      <alignment horizontal="center" vertical="top" wrapText="1"/>
    </xf>
    <xf borderId="6" fillId="0" fontId="16" numFmtId="49" xfId="0" applyAlignment="1" applyBorder="1" applyFont="1" applyNumberFormat="1">
      <alignment horizontal="center"/>
    </xf>
    <xf borderId="0" fillId="0" fontId="16" numFmtId="49" xfId="0" applyAlignment="1" applyFont="1" applyNumberFormat="1">
      <alignment horizontal="center"/>
    </xf>
    <xf borderId="1" fillId="0" fontId="16" numFmtId="49" xfId="0" applyAlignment="1" applyBorder="1" applyFont="1" applyNumberFormat="1">
      <alignment horizontal="center"/>
    </xf>
    <xf borderId="6" fillId="0" fontId="16" numFmtId="49" xfId="0" applyAlignment="1" applyBorder="1" applyFont="1" applyNumberFormat="1">
      <alignment horizontal="center" wrapText="1"/>
    </xf>
    <xf borderId="20" fillId="0" fontId="3" numFmtId="49" xfId="0" applyAlignment="1" applyBorder="1" applyFont="1" applyNumberFormat="1">
      <alignment horizontal="center" vertical="top" wrapText="1"/>
    </xf>
    <xf borderId="2" fillId="0" fontId="12" numFmtId="0" xfId="0" applyAlignment="1" applyBorder="1" applyFont="1">
      <alignment horizontal="center" vertical="center"/>
    </xf>
    <xf borderId="0" fillId="0" fontId="16" numFmtId="49" xfId="0" applyAlignment="1" applyFont="1" applyNumberFormat="1">
      <alignment horizontal="center" wrapText="1"/>
    </xf>
    <xf borderId="13" fillId="0" fontId="12" numFmtId="0" xfId="0" applyAlignment="1" applyBorder="1" applyFont="1">
      <alignment horizontal="center" vertical="center"/>
    </xf>
    <xf borderId="14" fillId="0" fontId="16" numFmtId="0" xfId="0" applyAlignment="1" applyBorder="1" applyFont="1">
      <alignment horizontal="center" vertical="top" wrapText="1"/>
    </xf>
    <xf borderId="2" fillId="0" fontId="24" numFmtId="0" xfId="0" applyAlignment="1" applyBorder="1" applyFont="1">
      <alignment horizontal="center" vertical="center"/>
    </xf>
    <xf borderId="13" fillId="0" fontId="24" numFmtId="0" xfId="0" applyAlignment="1" applyBorder="1" applyFont="1">
      <alignment horizontal="center" vertical="center"/>
    </xf>
    <xf borderId="2" fillId="0" fontId="12" numFmtId="0" xfId="0" applyAlignment="1" applyBorder="1" applyFont="1">
      <alignment horizontal="center" vertical="center" wrapText="1"/>
    </xf>
    <xf borderId="2" fillId="5" fontId="12" numFmtId="0" xfId="0" applyAlignment="1" applyBorder="1" applyFont="1">
      <alignment horizontal="center" vertical="center"/>
    </xf>
    <xf borderId="2" fillId="5" fontId="6" numFmtId="0" xfId="0" applyAlignment="1" applyBorder="1" applyFont="1">
      <alignment horizontal="center" vertical="top"/>
    </xf>
    <xf borderId="23" fillId="0" fontId="6" numFmtId="0" xfId="0" applyAlignment="1" applyBorder="1" applyFont="1">
      <alignment horizontal="center" vertical="center" wrapText="1"/>
    </xf>
    <xf borderId="8" fillId="0" fontId="6" numFmtId="0" xfId="0" applyAlignment="1" applyBorder="1" applyFont="1">
      <alignment horizontal="center" vertical="center" wrapText="1"/>
    </xf>
    <xf borderId="22" fillId="0" fontId="3" numFmtId="49" xfId="0" applyAlignment="1" applyBorder="1" applyFont="1" applyNumberFormat="1">
      <alignment horizontal="center" vertical="top" wrapText="1"/>
    </xf>
    <xf borderId="0" fillId="0" fontId="41" numFmtId="0" xfId="0" applyAlignment="1" applyFont="1">
      <alignment horizontal="center" vertical="center" wrapText="1"/>
    </xf>
    <xf borderId="8" fillId="2" fontId="3" numFmtId="49" xfId="0" applyAlignment="1" applyBorder="1" applyFont="1" applyNumberFormat="1">
      <alignment horizontal="center" vertical="top" wrapText="1"/>
    </xf>
    <xf borderId="8" fillId="0" fontId="12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top" wrapText="1"/>
    </xf>
    <xf borderId="23" fillId="0" fontId="41" numFmtId="0" xfId="0" applyAlignment="1" applyBorder="1" applyFont="1">
      <alignment horizontal="center" vertical="top" wrapText="1"/>
    </xf>
    <xf borderId="24" fillId="0" fontId="41" numFmtId="0" xfId="0" applyAlignment="1" applyBorder="1" applyFont="1">
      <alignment horizontal="center" vertical="top" wrapText="1"/>
    </xf>
    <xf borderId="6" fillId="0" fontId="15" numFmtId="0" xfId="0" applyAlignment="1" applyBorder="1" applyFont="1">
      <alignment horizontal="center" vertical="top" wrapText="1"/>
    </xf>
    <xf borderId="9" fillId="0" fontId="6" numFmtId="0" xfId="0" applyAlignment="1" applyBorder="1" applyFont="1">
      <alignment horizontal="center" vertical="center" wrapText="1"/>
    </xf>
    <xf borderId="4" fillId="5" fontId="6" numFmtId="0" xfId="0" applyAlignment="1" applyBorder="1" applyFont="1">
      <alignment horizontal="center" vertical="top" wrapText="1"/>
    </xf>
    <xf borderId="2" fillId="0" fontId="12" numFmtId="0" xfId="0" applyAlignment="1" applyBorder="1" applyFont="1">
      <alignment horizontal="center" vertical="center" wrapText="1"/>
    </xf>
    <xf borderId="9" fillId="0" fontId="6" numFmtId="0" xfId="0" applyAlignment="1" applyBorder="1" applyFont="1">
      <alignment horizontal="center" vertical="top" wrapText="1"/>
    </xf>
    <xf borderId="23" fillId="0" fontId="6" numFmtId="0" xfId="0" applyAlignment="1" applyBorder="1" applyFont="1">
      <alignment horizontal="center" vertical="top" wrapText="1"/>
    </xf>
    <xf borderId="6" fillId="0" fontId="44" numFmtId="49" xfId="0" applyAlignment="1" applyBorder="1" applyFont="1" applyNumberFormat="1">
      <alignment horizontal="center" vertical="top" wrapText="1"/>
    </xf>
    <xf borderId="6" fillId="0" fontId="16" numFmtId="0" xfId="0" applyAlignment="1" applyBorder="1" applyFont="1">
      <alignment horizontal="center" vertical="top" wrapText="1"/>
    </xf>
    <xf borderId="0" fillId="0" fontId="45" numFmtId="49" xfId="0" applyAlignment="1" applyFont="1" applyNumberFormat="1">
      <alignment horizontal="center" vertical="top" wrapText="1"/>
    </xf>
    <xf borderId="0" fillId="0" fontId="46" numFmtId="49" xfId="0" applyAlignment="1" applyFont="1" applyNumberFormat="1">
      <alignment horizontal="center" vertical="top" wrapText="1"/>
    </xf>
    <xf borderId="0" fillId="0" fontId="47" numFmtId="0" xfId="0" applyAlignment="1" applyFont="1">
      <alignment horizontal="center" vertical="top" wrapText="1"/>
    </xf>
    <xf borderId="2" fillId="0" fontId="6" numFmtId="0" xfId="0" applyAlignment="1" applyBorder="1" applyFont="1">
      <alignment horizontal="center" vertical="center" wrapText="1"/>
    </xf>
    <xf borderId="8" fillId="0" fontId="26" numFmtId="0" xfId="0" applyAlignment="1" applyBorder="1" applyFont="1">
      <alignment horizontal="center" vertical="top" wrapText="1"/>
    </xf>
    <xf borderId="15" fillId="0" fontId="6" numFmtId="0" xfId="0" applyAlignment="1" applyBorder="1" applyFont="1">
      <alignment horizontal="center" vertical="top" wrapText="1"/>
    </xf>
    <xf borderId="10" fillId="0" fontId="6" numFmtId="0" xfId="0" applyAlignment="1" applyBorder="1" applyFont="1">
      <alignment horizontal="center" vertical="top"/>
    </xf>
    <xf borderId="10" fillId="0" fontId="6" numFmtId="0" xfId="0" applyAlignment="1" applyBorder="1" applyFont="1">
      <alignment horizontal="center" vertical="top" wrapText="1"/>
    </xf>
    <xf borderId="10" fillId="0" fontId="26" numFmtId="0" xfId="0" applyAlignment="1" applyBorder="1" applyFont="1">
      <alignment horizontal="center" vertical="top"/>
    </xf>
    <xf borderId="27" fillId="0" fontId="26" numFmtId="0" xfId="0" applyAlignment="1" applyBorder="1" applyFont="1">
      <alignment horizontal="center" vertical="top"/>
    </xf>
    <xf borderId="15" fillId="0" fontId="26" numFmtId="0" xfId="0" applyAlignment="1" applyBorder="1" applyFont="1">
      <alignment horizontal="center" vertical="top"/>
    </xf>
    <xf borderId="10" fillId="0" fontId="2" numFmtId="0" xfId="0" applyBorder="1" applyFont="1"/>
    <xf borderId="27" fillId="0" fontId="2" numFmtId="0" xfId="0" applyBorder="1" applyFont="1"/>
    <xf borderId="1" fillId="0" fontId="2" numFmtId="0" xfId="0" applyBorder="1" applyFont="1"/>
    <xf borderId="28" fillId="0" fontId="2" numFmtId="0" xfId="0" applyBorder="1" applyFont="1"/>
    <xf borderId="0" fillId="0" fontId="3" numFmtId="0" xfId="0" applyAlignment="1" applyFont="1">
      <alignment horizontal="center" vertical="top" wrapText="1"/>
    </xf>
    <xf borderId="14" fillId="0" fontId="2" numFmtId="0" xfId="0" applyAlignment="1" applyBorder="1" applyFont="1">
      <alignment vertical="top"/>
    </xf>
    <xf borderId="19" fillId="0" fontId="2" numFmtId="0" xfId="0" applyBorder="1" applyFont="1"/>
    <xf borderId="29" fillId="0" fontId="2" numFmtId="0" xfId="0" applyBorder="1" applyFont="1"/>
    <xf borderId="30" fillId="0" fontId="2" numFmtId="0" xfId="0" applyBorder="1" applyFont="1"/>
    <xf borderId="4" fillId="0" fontId="15" numFmtId="0" xfId="0" applyAlignment="1" applyBorder="1" applyFont="1">
      <alignment horizontal="center" vertical="top" wrapText="1"/>
    </xf>
    <xf borderId="1" fillId="0" fontId="15" numFmtId="0" xfId="0" applyAlignment="1" applyBorder="1" applyFont="1">
      <alignment horizontal="center" vertical="top" wrapText="1"/>
    </xf>
    <xf borderId="16" fillId="4" fontId="6" numFmtId="0" xfId="0" applyAlignment="1" applyBorder="1" applyFont="1">
      <alignment horizontal="center" vertical="top" wrapText="1"/>
    </xf>
    <xf borderId="1" fillId="0" fontId="3" numFmtId="49" xfId="0" applyAlignment="1" applyBorder="1" applyFont="1" applyNumberFormat="1">
      <alignment horizontal="center" vertical="top" wrapText="1"/>
    </xf>
    <xf borderId="14" fillId="0" fontId="16" numFmtId="49" xfId="0" applyAlignment="1" applyBorder="1" applyFont="1" applyNumberFormat="1">
      <alignment horizontal="center" vertical="top"/>
    </xf>
    <xf borderId="0" fillId="0" fontId="3" numFmtId="49" xfId="0" applyAlignment="1" applyFont="1" applyNumberFormat="1">
      <alignment horizontal="center" vertical="top" wrapText="1"/>
    </xf>
    <xf borderId="2" fillId="0" fontId="48" numFmtId="0" xfId="0" applyAlignment="1" applyBorder="1" applyFont="1">
      <alignment horizontal="center" vertical="top" wrapText="1"/>
    </xf>
    <xf borderId="9" fillId="0" fontId="41" numFmtId="0" xfId="0" applyAlignment="1" applyBorder="1" applyFont="1">
      <alignment horizontal="center" vertical="center"/>
    </xf>
    <xf borderId="23" fillId="0" fontId="41" numFmtId="0" xfId="0" applyAlignment="1" applyBorder="1" applyFont="1">
      <alignment horizontal="center" vertical="center"/>
    </xf>
    <xf borderId="20" fillId="0" fontId="49" numFmtId="49" xfId="0" applyAlignment="1" applyBorder="1" applyFont="1" applyNumberFormat="1">
      <alignment horizontal="center" vertical="top" wrapText="1"/>
    </xf>
    <xf borderId="24" fillId="0" fontId="41" numFmtId="0" xfId="0" applyAlignment="1" applyBorder="1" applyFont="1">
      <alignment horizontal="center" vertical="center"/>
    </xf>
    <xf borderId="22" fillId="0" fontId="50" numFmtId="0" xfId="0" applyAlignment="1" applyBorder="1" applyFont="1">
      <alignment horizontal="center" vertical="top" wrapText="1"/>
    </xf>
    <xf borderId="20" fillId="0" fontId="3" numFmtId="49" xfId="0" applyAlignment="1" applyBorder="1" applyFont="1" applyNumberFormat="1">
      <alignment horizontal="center" vertical="top" wrapText="1"/>
    </xf>
    <xf borderId="8" fillId="0" fontId="6" numFmtId="0" xfId="0" applyAlignment="1" applyBorder="1" applyFont="1">
      <alignment horizontal="center" vertical="center"/>
    </xf>
    <xf borderId="19" fillId="0" fontId="3" numFmtId="49" xfId="0" applyAlignment="1" applyBorder="1" applyFont="1" applyNumberFormat="1">
      <alignment horizontal="center" vertical="top" wrapText="1"/>
    </xf>
    <xf borderId="24" fillId="0" fontId="26" numFmtId="0" xfId="0" applyAlignment="1" applyBorder="1" applyFont="1">
      <alignment horizontal="center" vertical="top"/>
    </xf>
    <xf borderId="2" fillId="0" fontId="41" numFmtId="0" xfId="0" applyAlignment="1" applyBorder="1" applyFont="1">
      <alignment horizontal="center" vertical="center" wrapText="1"/>
    </xf>
    <xf borderId="2" fillId="0" fontId="12" numFmtId="0" xfId="0" applyAlignment="1" applyBorder="1" applyFont="1">
      <alignment horizontal="center" vertical="center" wrapText="1"/>
    </xf>
    <xf borderId="9" fillId="0" fontId="24" numFmtId="0" xfId="0" applyAlignment="1" applyBorder="1" applyFont="1">
      <alignment horizontal="center" vertical="center" wrapText="1"/>
    </xf>
    <xf borderId="9" fillId="0" fontId="26" numFmtId="0" xfId="0" applyAlignment="1" applyBorder="1" applyFont="1">
      <alignment horizontal="center" vertical="center" wrapText="1"/>
    </xf>
    <xf borderId="8" fillId="0" fontId="26" numFmtId="0" xfId="0" applyAlignment="1" applyBorder="1" applyFont="1">
      <alignment horizontal="center" vertical="center" wrapText="1"/>
    </xf>
    <xf borderId="0" fillId="0" fontId="51" numFmtId="49" xfId="0" applyAlignment="1" applyFont="1" applyNumberFormat="1">
      <alignment horizontal="center" vertical="top" wrapText="1"/>
    </xf>
    <xf borderId="14" fillId="0" fontId="52" numFmtId="49" xfId="0" applyAlignment="1" applyBorder="1" applyFont="1" applyNumberFormat="1">
      <alignment horizontal="center" vertical="top" wrapText="1"/>
    </xf>
    <xf borderId="4" fillId="0" fontId="6" numFmtId="0" xfId="0" applyAlignment="1" applyBorder="1" applyFont="1">
      <alignment horizontal="center" vertical="top"/>
    </xf>
    <xf borderId="4" fillId="0" fontId="26" numFmtId="0" xfId="0" applyAlignment="1" applyBorder="1" applyFont="1">
      <alignment horizontal="center" vertical="top"/>
    </xf>
    <xf borderId="17" fillId="0" fontId="26" numFmtId="0" xfId="0" applyAlignment="1" applyBorder="1" applyFont="1">
      <alignment horizontal="center" vertical="top"/>
    </xf>
    <xf borderId="4" fillId="0" fontId="12" numFmtId="0" xfId="0" applyAlignment="1" applyBorder="1" applyFont="1">
      <alignment horizontal="center" vertical="center"/>
    </xf>
    <xf borderId="4" fillId="0" fontId="24" numFmtId="0" xfId="0" applyAlignment="1" applyBorder="1" applyFont="1">
      <alignment horizontal="center" vertical="center"/>
    </xf>
    <xf borderId="17" fillId="0" fontId="24" numFmtId="0" xfId="0" applyAlignment="1" applyBorder="1" applyFont="1">
      <alignment horizontal="center" vertical="center"/>
    </xf>
    <xf borderId="31" fillId="0" fontId="2" numFmtId="0" xfId="0" applyBorder="1" applyFont="1"/>
    <xf borderId="32" fillId="0" fontId="2" numFmtId="0" xfId="0" applyBorder="1" applyFont="1"/>
    <xf borderId="33" fillId="0" fontId="6" numFmtId="0" xfId="0" applyAlignment="1" applyBorder="1" applyFont="1">
      <alignment horizontal="center" vertical="top"/>
    </xf>
    <xf borderId="33" fillId="0" fontId="26" numFmtId="0" xfId="0" applyAlignment="1" applyBorder="1" applyFont="1">
      <alignment horizontal="center" vertical="top"/>
    </xf>
    <xf borderId="34" fillId="0" fontId="6" numFmtId="0" xfId="0" applyAlignment="1" applyBorder="1" applyFont="1">
      <alignment horizontal="center" vertical="top"/>
    </xf>
    <xf borderId="4" fillId="0" fontId="3" numFmtId="49" xfId="0" applyAlignment="1" applyBorder="1" applyFont="1" applyNumberFormat="1">
      <alignment horizontal="center" vertical="top" wrapText="1"/>
    </xf>
    <xf borderId="10" fillId="0" fontId="3" numFmtId="0" xfId="0" applyAlignment="1" applyBorder="1" applyFont="1">
      <alignment horizontal="center" vertical="top" wrapText="1"/>
    </xf>
    <xf borderId="14" fillId="0" fontId="53" numFmtId="0" xfId="0" applyAlignment="1" applyBorder="1" applyFont="1">
      <alignment horizontal="center" vertical="top" wrapText="1"/>
    </xf>
    <xf borderId="14" fillId="0" fontId="7" numFmtId="49" xfId="0" applyAlignment="1" applyBorder="1" applyFont="1" applyNumberFormat="1">
      <alignment horizontal="center" vertical="top" wrapText="1"/>
    </xf>
    <xf borderId="0" fillId="0" fontId="54" numFmtId="49" xfId="0" applyAlignment="1" applyFont="1" applyNumberFormat="1">
      <alignment horizontal="center" vertical="top" wrapText="1"/>
    </xf>
    <xf borderId="0" fillId="0" fontId="55" numFmtId="0" xfId="0" applyAlignment="1" applyFont="1">
      <alignment vertical="top" wrapText="1"/>
    </xf>
    <xf borderId="22" fillId="0" fontId="3" numFmtId="49" xfId="0" applyAlignment="1" applyBorder="1" applyFont="1" applyNumberFormat="1">
      <alignment horizontal="center" vertical="top" wrapText="1"/>
    </xf>
    <xf borderId="6" fillId="0" fontId="3" numFmtId="49" xfId="0" applyAlignment="1" applyBorder="1" applyFont="1" applyNumberFormat="1">
      <alignment horizontal="center" vertical="top" wrapText="1"/>
    </xf>
    <xf borderId="29" fillId="0" fontId="56" numFmtId="49" xfId="0" applyAlignment="1" applyBorder="1" applyFont="1" applyNumberFormat="1">
      <alignment horizontal="center" vertical="top" wrapText="1"/>
    </xf>
    <xf borderId="6" fillId="2" fontId="3" numFmtId="49" xfId="0" applyAlignment="1" applyBorder="1" applyFont="1" applyNumberFormat="1">
      <alignment horizontal="center" vertical="top" wrapText="1"/>
    </xf>
    <xf borderId="6" fillId="0" fontId="57" numFmtId="0" xfId="0" applyAlignment="1" applyBorder="1" applyFont="1">
      <alignment vertical="top"/>
    </xf>
    <xf borderId="0" fillId="0" fontId="58" numFmtId="49" xfId="0" applyAlignment="1" applyFont="1" applyNumberFormat="1">
      <alignment horizontal="center" wrapText="1"/>
    </xf>
    <xf borderId="0" fillId="0" fontId="59" numFmtId="0" xfId="0" applyAlignment="1" applyFont="1">
      <alignment horizontal="center" vertical="top" wrapText="1"/>
    </xf>
    <xf borderId="6" fillId="0" fontId="60" numFmtId="49" xfId="0" applyAlignment="1" applyBorder="1" applyFont="1" applyNumberFormat="1">
      <alignment horizontal="center" vertical="top" wrapText="1"/>
    </xf>
    <xf borderId="0" fillId="6" fontId="3" numFmtId="49" xfId="0" applyAlignment="1" applyFill="1" applyFont="1" applyNumberFormat="1">
      <alignment horizontal="center" vertical="top" wrapText="1"/>
    </xf>
    <xf borderId="4" fillId="7" fontId="3" numFmtId="49" xfId="0" applyAlignment="1" applyBorder="1" applyFill="1" applyFont="1" applyNumberFormat="1">
      <alignment horizontal="center" vertical="top" wrapText="1"/>
    </xf>
    <xf borderId="1" fillId="0" fontId="3" numFmtId="0" xfId="0" applyAlignment="1" applyBorder="1" applyFont="1">
      <alignment horizontal="center" vertical="top" wrapText="1"/>
    </xf>
    <xf borderId="0" fillId="0" fontId="61" numFmtId="49" xfId="0" applyAlignment="1" applyFont="1" applyNumberFormat="1">
      <alignment horizontal="center" wrapText="1"/>
    </xf>
    <xf borderId="14" fillId="0" fontId="3" numFmtId="0" xfId="0" applyAlignment="1" applyBorder="1" applyFont="1">
      <alignment horizontal="center" vertical="top" wrapText="1"/>
    </xf>
    <xf borderId="1" fillId="0" fontId="2" numFmtId="0" xfId="0" applyAlignment="1" applyBorder="1" applyFont="1">
      <alignment vertical="top"/>
    </xf>
    <xf borderId="0" fillId="6" fontId="3" numFmtId="0" xfId="0" applyAlignment="1" applyFont="1">
      <alignment horizontal="center" vertical="top" wrapText="1"/>
    </xf>
    <xf borderId="0" fillId="6" fontId="15" numFmtId="0" xfId="0" applyAlignment="1" applyFont="1">
      <alignment horizontal="center" vertical="top" wrapText="1"/>
    </xf>
    <xf borderId="0" fillId="0" fontId="57" numFmtId="0" xfId="0" applyAlignment="1" applyFont="1">
      <alignment horizontal="center" vertical="top"/>
    </xf>
    <xf borderId="1" fillId="0" fontId="57" numFmtId="0" xfId="0" applyAlignment="1" applyBorder="1" applyFont="1">
      <alignment horizontal="center" vertical="top"/>
    </xf>
    <xf borderId="6" fillId="0" fontId="57" numFmtId="0" xfId="0" applyAlignment="1" applyBorder="1" applyFont="1">
      <alignment horizontal="center" vertical="top" wrapText="1"/>
    </xf>
    <xf borderId="14" fillId="0" fontId="57" numFmtId="49" xfId="0" applyAlignment="1" applyBorder="1" applyFont="1" applyNumberFormat="1">
      <alignment horizontal="center" vertical="top" wrapText="1"/>
    </xf>
    <xf borderId="0" fillId="6" fontId="3" numFmtId="49" xfId="0" applyAlignment="1" applyFont="1" applyNumberFormat="1">
      <alignment horizontal="center" vertical="top" wrapText="1"/>
    </xf>
    <xf borderId="0" fillId="0" fontId="62" numFmtId="49" xfId="0" applyAlignment="1" applyFont="1" applyNumberFormat="1">
      <alignment horizontal="center" wrapText="1"/>
    </xf>
    <xf borderId="6" fillId="0" fontId="15" numFmtId="0" xfId="0" applyAlignment="1" applyBorder="1" applyFont="1">
      <alignment horizontal="center" vertical="top" wrapText="1"/>
    </xf>
    <xf borderId="0" fillId="6" fontId="15" numFmtId="0" xfId="0" applyAlignment="1" applyFont="1">
      <alignment horizontal="center" vertical="top" wrapText="1"/>
    </xf>
    <xf borderId="29" fillId="0" fontId="63" numFmtId="0" xfId="0" applyAlignment="1" applyBorder="1" applyFont="1">
      <alignment horizontal="center" vertical="top" wrapText="1"/>
    </xf>
    <xf borderId="1" fillId="0" fontId="7" numFmtId="49" xfId="0" applyAlignment="1" applyBorder="1" applyFont="1" applyNumberFormat="1">
      <alignment horizontal="center" vertical="top" wrapText="1"/>
    </xf>
    <xf borderId="20" fillId="0" fontId="3" numFmtId="49" xfId="0" applyAlignment="1" applyBorder="1" applyFont="1" applyNumberFormat="1">
      <alignment horizontal="center" vertical="top" wrapText="1"/>
    </xf>
    <xf borderId="6" fillId="0" fontId="16" numFmtId="0" xfId="0" applyAlignment="1" applyBorder="1" applyFont="1">
      <alignment horizontal="center" vertical="top"/>
    </xf>
    <xf borderId="14" fillId="0" fontId="64" numFmtId="0" xfId="0" applyAlignment="1" applyBorder="1" applyFont="1">
      <alignment horizontal="center" vertical="top" wrapText="1"/>
    </xf>
    <xf borderId="0" fillId="0" fontId="3" numFmtId="0" xfId="0" applyAlignment="1" applyFont="1">
      <alignment horizontal="center"/>
    </xf>
    <xf borderId="6" fillId="0" fontId="57" numFmtId="0" xfId="0" applyAlignment="1" applyBorder="1" applyFont="1">
      <alignment horizontal="center" vertical="top" wrapText="1"/>
    </xf>
    <xf borderId="20" fillId="0" fontId="65" numFmtId="0" xfId="0" applyAlignment="1" applyBorder="1" applyFont="1">
      <alignment horizontal="center" wrapText="1"/>
    </xf>
    <xf borderId="14" fillId="0" fontId="66" numFmtId="0" xfId="0" applyAlignment="1" applyBorder="1" applyFont="1">
      <alignment horizontal="center" vertical="top" wrapText="1"/>
    </xf>
    <xf borderId="2" fillId="0" fontId="2" numFmtId="0" xfId="0" applyAlignment="1" applyBorder="1" applyFont="1">
      <alignment horizontal="center"/>
    </xf>
    <xf borderId="0" fillId="0" fontId="3" numFmtId="49" xfId="0" applyAlignment="1" applyFont="1" applyNumberFormat="1">
      <alignment horizontal="center" vertical="top" wrapText="1"/>
    </xf>
    <xf borderId="14" fillId="6" fontId="57" numFmtId="0" xfId="0" applyAlignment="1" applyBorder="1" applyFont="1">
      <alignment horizontal="center" vertical="top" wrapText="1"/>
    </xf>
    <xf borderId="14" fillId="0" fontId="57" numFmtId="0" xfId="0" applyAlignment="1" applyBorder="1" applyFont="1">
      <alignment horizontal="center" vertical="top" wrapText="1"/>
    </xf>
    <xf borderId="14" fillId="0" fontId="15" numFmtId="0" xfId="0" applyAlignment="1" applyBorder="1" applyFont="1">
      <alignment horizontal="center" vertical="top" wrapText="1"/>
    </xf>
    <xf borderId="0" fillId="0" fontId="67" numFmtId="49" xfId="0" applyAlignment="1" applyFont="1" applyNumberFormat="1">
      <alignment horizontal="center" vertical="top" wrapText="1"/>
    </xf>
    <xf borderId="0" fillId="0" fontId="68" numFmtId="49" xfId="0" applyAlignment="1" applyFont="1" applyNumberFormat="1">
      <alignment horizontal="center" wrapText="1"/>
    </xf>
    <xf borderId="20" fillId="0" fontId="3" numFmtId="49" xfId="0" applyAlignment="1" applyBorder="1" applyFont="1" applyNumberFormat="1">
      <alignment horizontal="center" vertical="top" wrapText="1"/>
    </xf>
    <xf borderId="0" fillId="0" fontId="69" numFmtId="49" xfId="0" applyAlignment="1" applyFont="1" applyNumberFormat="1">
      <alignment horizontal="center" wrapText="1"/>
    </xf>
    <xf borderId="22" fillId="0" fontId="2" numFmtId="0" xfId="0" applyBorder="1" applyFont="1"/>
    <xf borderId="6" fillId="0" fontId="70" numFmtId="0" xfId="0" applyAlignment="1" applyBorder="1" applyFont="1">
      <alignment horizontal="center" vertical="top" wrapText="1"/>
    </xf>
    <xf borderId="20" fillId="0" fontId="16" numFmtId="0" xfId="0" applyAlignment="1" applyBorder="1" applyFont="1">
      <alignment horizontal="center" vertical="top" wrapText="1"/>
    </xf>
    <xf borderId="0" fillId="6" fontId="3" numFmtId="0" xfId="0" applyAlignment="1" applyFont="1">
      <alignment horizontal="center" vertical="top" wrapText="1"/>
    </xf>
    <xf borderId="14" fillId="0" fontId="16" numFmtId="0" xfId="0" applyAlignment="1" applyBorder="1" applyFont="1">
      <alignment horizontal="center" vertical="top"/>
    </xf>
    <xf borderId="6" fillId="0" fontId="7" numFmtId="0" xfId="0" applyAlignment="1" applyBorder="1" applyFont="1">
      <alignment horizontal="center" vertical="top" wrapText="1"/>
    </xf>
    <xf borderId="6" fillId="0" fontId="71" numFmtId="0" xfId="0" applyAlignment="1" applyBorder="1" applyFont="1">
      <alignment horizontal="center" vertical="top" wrapText="1"/>
    </xf>
    <xf borderId="2" fillId="0" fontId="72" numFmtId="0" xfId="0" applyAlignment="1" applyBorder="1" applyFont="1">
      <alignment vertical="top" wrapText="1"/>
    </xf>
    <xf borderId="19" fillId="0" fontId="73" numFmtId="0" xfId="0" applyAlignment="1" applyBorder="1" applyFont="1">
      <alignment vertical="top" wrapText="1"/>
    </xf>
    <xf borderId="20" fillId="0" fontId="74" numFmtId="0" xfId="0" applyAlignment="1" applyBorder="1" applyFont="1">
      <alignment vertical="top" wrapText="1"/>
    </xf>
    <xf borderId="6" fillId="0" fontId="75" numFmtId="49" xfId="0" applyAlignment="1" applyBorder="1" applyFont="1" applyNumberFormat="1">
      <alignment horizontal="center" vertical="top" wrapText="1"/>
    </xf>
    <xf borderId="1" fillId="0" fontId="76" numFmtId="0" xfId="0" applyAlignment="1" applyBorder="1" applyFont="1">
      <alignment horizontal="center" vertical="top" wrapText="1"/>
    </xf>
    <xf borderId="6" fillId="0" fontId="77" numFmtId="0" xfId="0" applyAlignment="1" applyBorder="1" applyFont="1">
      <alignment horizontal="center" vertical="top"/>
    </xf>
    <xf borderId="0" fillId="0" fontId="57" numFmtId="0" xfId="0" applyAlignment="1" applyFont="1">
      <alignment horizontal="center" vertical="top" wrapText="1"/>
    </xf>
    <xf borderId="6" fillId="0" fontId="57" numFmtId="0" xfId="0" applyAlignment="1" applyBorder="1" applyFont="1">
      <alignment horizontal="center" vertical="top" wrapText="1"/>
    </xf>
    <xf borderId="6" fillId="6" fontId="16" numFmtId="0" xfId="0" applyAlignment="1" applyBorder="1" applyFont="1">
      <alignment horizontal="center" vertical="top"/>
    </xf>
    <xf borderId="6" fillId="6" fontId="16" numFmtId="0" xfId="0" applyAlignment="1" applyBorder="1" applyFont="1">
      <alignment horizontal="center" vertical="top" wrapText="1"/>
    </xf>
    <xf borderId="4" fillId="3" fontId="3" numFmtId="49" xfId="0" applyAlignment="1" applyBorder="1" applyFont="1" applyNumberFormat="1">
      <alignment horizontal="center" vertical="top" wrapText="1"/>
    </xf>
    <xf borderId="3" fillId="2" fontId="3" numFmtId="49" xfId="0" applyAlignment="1" applyBorder="1" applyFont="1" applyNumberFormat="1">
      <alignment horizontal="center" vertical="top" wrapText="1"/>
    </xf>
    <xf borderId="4" fillId="0" fontId="5" numFmtId="0" xfId="0" applyAlignment="1" applyBorder="1" applyFont="1">
      <alignment horizontal="center" vertical="top" wrapText="1"/>
    </xf>
    <xf borderId="6" fillId="0" fontId="15" numFmtId="0" xfId="0" applyAlignment="1" applyBorder="1" applyFont="1">
      <alignment horizontal="center" vertical="top" wrapText="1"/>
    </xf>
    <xf borderId="0" fillId="0" fontId="5" numFmtId="0" xfId="0" applyAlignment="1" applyFont="1">
      <alignment horizontal="center" vertical="top" wrapText="1"/>
    </xf>
    <xf borderId="14" fillId="0" fontId="15" numFmtId="49" xfId="0" applyAlignment="1" applyBorder="1" applyFont="1" applyNumberFormat="1">
      <alignment horizontal="center" vertical="top" wrapText="1"/>
    </xf>
    <xf borderId="0" fillId="0" fontId="15" numFmtId="0" xfId="0" applyAlignment="1" applyFont="1">
      <alignment horizontal="center" vertical="top" wrapText="1"/>
    </xf>
    <xf borderId="6" fillId="0" fontId="16" numFmtId="49" xfId="0" applyAlignment="1" applyBorder="1" applyFont="1" applyNumberFormat="1">
      <alignment horizontal="center" vertical="top" wrapText="1"/>
    </xf>
    <xf borderId="2" fillId="0" fontId="78" numFmtId="0" xfId="0" applyAlignment="1" applyBorder="1" applyFont="1">
      <alignment vertical="top" wrapText="1"/>
    </xf>
    <xf borderId="2" fillId="0" fontId="79" numFmtId="0" xfId="0" applyAlignment="1" applyBorder="1" applyFont="1">
      <alignment horizontal="center" vertical="top" wrapText="1"/>
    </xf>
    <xf borderId="2" fillId="0" fontId="3" numFmtId="49" xfId="0" applyAlignment="1" applyBorder="1" applyFont="1" applyNumberFormat="1">
      <alignment horizontal="center" vertical="top" wrapText="1"/>
    </xf>
    <xf borderId="8" fillId="0" fontId="16" numFmtId="0" xfId="0" applyAlignment="1" applyBorder="1" applyFont="1">
      <alignment horizontal="center" vertical="top" wrapText="1"/>
    </xf>
    <xf borderId="23" fillId="0" fontId="16" numFmtId="0" xfId="0" applyAlignment="1" applyBorder="1" applyFont="1">
      <alignment horizontal="center" vertical="top" wrapText="1"/>
    </xf>
    <xf borderId="4" fillId="0" fontId="3" numFmtId="49" xfId="0" applyAlignment="1" applyBorder="1" applyFont="1" applyNumberFormat="1">
      <alignment horizontal="center" vertical="top" wrapText="1"/>
    </xf>
    <xf borderId="6" fillId="0" fontId="15" numFmtId="49" xfId="0" applyAlignment="1" applyBorder="1" applyFont="1" applyNumberFormat="1">
      <alignment horizontal="center" vertical="top" wrapText="1"/>
    </xf>
    <xf borderId="6" fillId="0" fontId="80" numFmtId="49" xfId="0" applyAlignment="1" applyBorder="1" applyFont="1" applyNumberFormat="1">
      <alignment horizontal="center" wrapText="1"/>
    </xf>
    <xf borderId="6" fillId="0" fontId="3" numFmtId="49" xfId="0" applyAlignment="1" applyBorder="1" applyFont="1" applyNumberFormat="1">
      <alignment horizontal="center" vertical="top" wrapText="1"/>
    </xf>
    <xf borderId="22" fillId="0" fontId="3" numFmtId="49" xfId="0" applyAlignment="1" applyBorder="1" applyFont="1" applyNumberFormat="1">
      <alignment horizontal="center" vertical="top" wrapText="1"/>
    </xf>
    <xf borderId="20" fillId="0" fontId="81" numFmtId="0" xfId="0" applyAlignment="1" applyBorder="1" applyFont="1">
      <alignment horizontal="center" vertical="top" wrapText="1"/>
    </xf>
    <xf borderId="0" fillId="0" fontId="82" numFmtId="49" xfId="0" applyAlignment="1" applyFont="1" applyNumberFormat="1">
      <alignment horizontal="center" wrapText="1"/>
    </xf>
    <xf borderId="0" fillId="0" fontId="83" numFmtId="49" xfId="0" applyAlignment="1" applyFont="1" applyNumberFormat="1">
      <alignment horizontal="center" wrapText="1"/>
    </xf>
    <xf borderId="14" fillId="0" fontId="57" numFmtId="0" xfId="0" applyAlignment="1" applyBorder="1" applyFont="1">
      <alignment horizontal="center" vertical="top"/>
    </xf>
    <xf borderId="1" fillId="0" fontId="15" numFmtId="0" xfId="0" applyAlignment="1" applyBorder="1" applyFont="1">
      <alignment horizontal="center" vertical="top" wrapText="1"/>
    </xf>
    <xf borderId="15" fillId="3" fontId="3" numFmtId="49" xfId="0" applyAlignment="1" applyBorder="1" applyFont="1" applyNumberFormat="1">
      <alignment horizontal="center" vertical="top" wrapText="1"/>
    </xf>
    <xf borderId="2" fillId="0" fontId="16" numFmtId="0" xfId="0" applyAlignment="1" applyBorder="1" applyFont="1">
      <alignment horizontal="center" vertical="top"/>
    </xf>
    <xf borderId="2" fillId="0" fontId="84" numFmtId="0" xfId="0" applyAlignment="1" applyBorder="1" applyFont="1">
      <alignment vertical="top" wrapText="1"/>
    </xf>
    <xf borderId="20" fillId="0" fontId="85" numFmtId="49" xfId="0" applyAlignment="1" applyBorder="1" applyFont="1" applyNumberFormat="1">
      <alignment horizontal="center" vertical="top" wrapText="1"/>
    </xf>
    <xf borderId="0" fillId="6" fontId="86" numFmtId="0" xfId="0" applyAlignment="1" applyFont="1">
      <alignment horizontal="center" vertical="top"/>
    </xf>
    <xf borderId="0" fillId="0" fontId="87" numFmtId="0" xfId="0" applyAlignment="1" applyFont="1">
      <alignment horizontal="center" vertical="top" wrapText="1"/>
    </xf>
    <xf borderId="0" fillId="0" fontId="16" numFmtId="0" xfId="0" applyAlignment="1" applyFont="1">
      <alignment horizontal="center" vertical="top"/>
    </xf>
    <xf borderId="0" fillId="6" fontId="16" numFmtId="49" xfId="0" applyAlignment="1" applyFont="1" applyNumberFormat="1">
      <alignment horizontal="center" vertical="top"/>
    </xf>
    <xf borderId="22" fillId="0" fontId="88" numFmtId="0" xfId="0" applyAlignment="1" applyBorder="1" applyFont="1">
      <alignment horizontal="center" vertical="top" wrapText="1"/>
    </xf>
    <xf borderId="2" fillId="6" fontId="3" numFmtId="49" xfId="0" applyAlignment="1" applyBorder="1" applyFont="1" applyNumberFormat="1">
      <alignment horizontal="center" vertical="top" wrapText="1"/>
    </xf>
    <xf borderId="6" fillId="6" fontId="3" numFmtId="0" xfId="0" applyAlignment="1" applyBorder="1" applyFont="1">
      <alignment horizontal="center" vertical="top" wrapText="1"/>
    </xf>
    <xf borderId="6" fillId="6" fontId="3" numFmtId="49" xfId="0" applyAlignment="1" applyBorder="1" applyFont="1" applyNumberFormat="1">
      <alignment horizontal="center" vertical="top" wrapText="1"/>
    </xf>
    <xf borderId="0" fillId="0" fontId="89" numFmtId="0" xfId="0" applyAlignment="1" applyFont="1">
      <alignment horizontal="center" wrapText="1"/>
    </xf>
    <xf borderId="20" fillId="6" fontId="3" numFmtId="49" xfId="0" applyAlignment="1" applyBorder="1" applyFont="1" applyNumberFormat="1">
      <alignment horizontal="center" vertical="top" wrapText="1"/>
    </xf>
    <xf borderId="0" fillId="0" fontId="57" numFmtId="0" xfId="0" applyAlignment="1" applyFont="1">
      <alignment vertical="top"/>
    </xf>
    <xf borderId="15" fillId="7" fontId="3" numFmtId="49" xfId="0" applyAlignment="1" applyBorder="1" applyFont="1" applyNumberFormat="1">
      <alignment horizontal="center" vertical="top" wrapText="1"/>
    </xf>
    <xf borderId="14" fillId="0" fontId="16" numFmtId="0" xfId="0" applyAlignment="1" applyBorder="1" applyFont="1">
      <alignment horizontal="center" vertical="top"/>
    </xf>
    <xf borderId="6" fillId="6" fontId="3" numFmtId="49" xfId="0" applyAlignment="1" applyBorder="1" applyFont="1" applyNumberFormat="1">
      <alignment horizontal="center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0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266700</xdr:colOff>
      <xdr:row>0</xdr:row>
      <xdr:rowOff>38100</xdr:rowOff>
    </xdr:from>
    <xdr:to>
      <xdr:col>0</xdr:col>
      <xdr:colOff>1304925</xdr:colOff>
      <xdr:row>0</xdr:row>
      <xdr:rowOff>619125</xdr:rowOff>
    </xdr:to>
    <xdr:pic>
      <xdr:nvPicPr>
        <xdr:cNvPr descr="http://203.156.127.201/6/images/logo.png" id="0" name="image00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1038225" cy="581025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-0reYkaFuOM" TargetMode="External"/><Relationship Id="rId2" Type="http://schemas.openxmlformats.org/officeDocument/2006/relationships/hyperlink" Target="https://www.youtube.com/watch?v=nCPXABnb4dc" TargetMode="External"/><Relationship Id="rId3" Type="http://schemas.openxmlformats.org/officeDocument/2006/relationships/hyperlink" Target="https://www.youtube.com/watch?v=6YAuk54ZC0c" TargetMode="External"/><Relationship Id="rId4" Type="http://schemas.openxmlformats.org/officeDocument/2006/relationships/hyperlink" Target="https://www.youtube.com/watch?v=F6XPY-TC_c8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youtube.com/watch?v=MwocsnhF2xM" TargetMode="External"/><Relationship Id="rId190" Type="http://schemas.openxmlformats.org/officeDocument/2006/relationships/hyperlink" Target="https://www.youtube.com/watch?v=mhFSr4kfCN0" TargetMode="External"/><Relationship Id="rId42" Type="http://schemas.openxmlformats.org/officeDocument/2006/relationships/hyperlink" Target="https://www.youtube.com/watch?v=V27CzUE9f1Y" TargetMode="External"/><Relationship Id="rId41" Type="http://schemas.openxmlformats.org/officeDocument/2006/relationships/hyperlink" Target="https://www.youtube.com/watch?v=SJD_5Sajk3k" TargetMode="External"/><Relationship Id="rId44" Type="http://schemas.openxmlformats.org/officeDocument/2006/relationships/hyperlink" Target="https://www.youtube.com/watch?v=P9i202QKjUQ" TargetMode="External"/><Relationship Id="rId194" Type="http://schemas.openxmlformats.org/officeDocument/2006/relationships/hyperlink" Target="https://www.youtube.com/watch?v=P3oZkPbxvX0" TargetMode="External"/><Relationship Id="rId43" Type="http://schemas.openxmlformats.org/officeDocument/2006/relationships/hyperlink" Target="https://www.youtube.com/watch?v=lhlivxSF56k" TargetMode="External"/><Relationship Id="rId193" Type="http://schemas.openxmlformats.org/officeDocument/2006/relationships/hyperlink" Target="https://www.youtube.com/watch?v=Z9QlEHjqe9c" TargetMode="External"/><Relationship Id="rId46" Type="http://schemas.openxmlformats.org/officeDocument/2006/relationships/hyperlink" Target="https://www.youtube.com/watch?v=lz37NgUyzBs" TargetMode="External"/><Relationship Id="rId192" Type="http://schemas.openxmlformats.org/officeDocument/2006/relationships/hyperlink" Target="https://www.youtube.com/watch?v=yoBoZ1wYXMc" TargetMode="External"/><Relationship Id="rId45" Type="http://schemas.openxmlformats.org/officeDocument/2006/relationships/hyperlink" Target="https://www.youtube.com/watch?v=Ij4gEUJD-ic" TargetMode="External"/><Relationship Id="rId191" Type="http://schemas.openxmlformats.org/officeDocument/2006/relationships/hyperlink" Target="https://www.youtube.com/watch?v=S4KQ7IsxU1I" TargetMode="External"/><Relationship Id="rId48" Type="http://schemas.openxmlformats.org/officeDocument/2006/relationships/hyperlink" Target="https://www.youtube.com/watch?v=V31iwa71OQs" TargetMode="External"/><Relationship Id="rId187" Type="http://schemas.openxmlformats.org/officeDocument/2006/relationships/hyperlink" Target="https://www.youtube.com/watch?v=zNl0vJhQC-0" TargetMode="External"/><Relationship Id="rId47" Type="http://schemas.openxmlformats.org/officeDocument/2006/relationships/hyperlink" Target="https://www.youtube.com/watch?v=YJjLaUH84uw" TargetMode="External"/><Relationship Id="rId186" Type="http://schemas.openxmlformats.org/officeDocument/2006/relationships/hyperlink" Target="https://www.youtube.com/watch?v=AMWmZ8TCW_Q" TargetMode="External"/><Relationship Id="rId185" Type="http://schemas.openxmlformats.org/officeDocument/2006/relationships/hyperlink" Target="https://www.youtube.com/watch?v=m8A1YcbbQIg" TargetMode="External"/><Relationship Id="rId49" Type="http://schemas.openxmlformats.org/officeDocument/2006/relationships/hyperlink" Target="https://www.youtube.com/watch?v=QRItdZ59s2Q" TargetMode="External"/><Relationship Id="rId184" Type="http://schemas.openxmlformats.org/officeDocument/2006/relationships/hyperlink" Target="https://www.youtube.com/watch?v=Crd3eOGf_wQ" TargetMode="External"/><Relationship Id="rId189" Type="http://schemas.openxmlformats.org/officeDocument/2006/relationships/hyperlink" Target="https://www.youtube.com/watch?v=5-SkEiJRcEQ" TargetMode="External"/><Relationship Id="rId188" Type="http://schemas.openxmlformats.org/officeDocument/2006/relationships/hyperlink" Target="https://www.youtube.com/watch?v=TN-HreunYGY" TargetMode="External"/><Relationship Id="rId31" Type="http://schemas.openxmlformats.org/officeDocument/2006/relationships/hyperlink" Target="https://www.youtube.com/watch?v=5DSydEU71qc" TargetMode="External"/><Relationship Id="rId30" Type="http://schemas.openxmlformats.org/officeDocument/2006/relationships/hyperlink" Target="https://www.youtube.com/watch?v=SisXkr_ln28" TargetMode="External"/><Relationship Id="rId33" Type="http://schemas.openxmlformats.org/officeDocument/2006/relationships/hyperlink" Target="https://www.youtube.com/watch?v=3SLuOlAhaG0" TargetMode="External"/><Relationship Id="rId183" Type="http://schemas.openxmlformats.org/officeDocument/2006/relationships/hyperlink" Target="https://www.youtube.com/watch?v=OKzBFF2N7II" TargetMode="External"/><Relationship Id="rId32" Type="http://schemas.openxmlformats.org/officeDocument/2006/relationships/hyperlink" Target="https://www.youtube.com/watch?v=oubTjt4ntqE" TargetMode="External"/><Relationship Id="rId182" Type="http://schemas.openxmlformats.org/officeDocument/2006/relationships/hyperlink" Target="https://www.youtube.com/watch?v=q8ECzwSrEE0" TargetMode="External"/><Relationship Id="rId35" Type="http://schemas.openxmlformats.org/officeDocument/2006/relationships/hyperlink" Target="https://www.youtube.com/watch?v=A8uN2S4f6dk" TargetMode="External"/><Relationship Id="rId181" Type="http://schemas.openxmlformats.org/officeDocument/2006/relationships/hyperlink" Target="https://www.youtube.com/watch?v=AS8ZcW8fHgg" TargetMode="External"/><Relationship Id="rId34" Type="http://schemas.openxmlformats.org/officeDocument/2006/relationships/hyperlink" Target="https://www.youtube.com/watch?v=9RJyVEm6lKs" TargetMode="External"/><Relationship Id="rId180" Type="http://schemas.openxmlformats.org/officeDocument/2006/relationships/hyperlink" Target="https://www.youtube.com/watch?v=8GTGeXJ4Rkg" TargetMode="External"/><Relationship Id="rId37" Type="http://schemas.openxmlformats.org/officeDocument/2006/relationships/hyperlink" Target="https://www.youtube.com/watch?v=CPz3uTy-kj8" TargetMode="External"/><Relationship Id="rId176" Type="http://schemas.openxmlformats.org/officeDocument/2006/relationships/hyperlink" Target="https://www.youtube.com/watch?v=C35uEa8K-vo" TargetMode="External"/><Relationship Id="rId36" Type="http://schemas.openxmlformats.org/officeDocument/2006/relationships/hyperlink" Target="https://www.youtube.com/watch?v=8WqHU7mGfMw" TargetMode="External"/><Relationship Id="rId175" Type="http://schemas.openxmlformats.org/officeDocument/2006/relationships/hyperlink" Target="https://www.youtube.com/watch?v=OFstqJD85VA" TargetMode="External"/><Relationship Id="rId39" Type="http://schemas.openxmlformats.org/officeDocument/2006/relationships/hyperlink" Target="https://www.youtube.com/watch?v=VxwiWx2KSR8" TargetMode="External"/><Relationship Id="rId174" Type="http://schemas.openxmlformats.org/officeDocument/2006/relationships/hyperlink" Target="https://www.youtube.com/watch?v=piXKhB33H-c" TargetMode="External"/><Relationship Id="rId38" Type="http://schemas.openxmlformats.org/officeDocument/2006/relationships/hyperlink" Target="https://www.youtube.com/watch?v=xi6296ryZc4" TargetMode="External"/><Relationship Id="rId173" Type="http://schemas.openxmlformats.org/officeDocument/2006/relationships/hyperlink" Target="https://www.youtube.com/watch?v=3IpBKW04bEQ" TargetMode="External"/><Relationship Id="rId179" Type="http://schemas.openxmlformats.org/officeDocument/2006/relationships/hyperlink" Target="https://www.youtube.com/watch?v=ZhddnVWHFh0" TargetMode="External"/><Relationship Id="rId178" Type="http://schemas.openxmlformats.org/officeDocument/2006/relationships/hyperlink" Target="https://www.youtube.com/watch?v=lXuqSIfuTEo" TargetMode="External"/><Relationship Id="rId177" Type="http://schemas.openxmlformats.org/officeDocument/2006/relationships/hyperlink" Target="https://www.youtube.com/watch?v=wrUuyerfShc" TargetMode="External"/><Relationship Id="rId20" Type="http://schemas.openxmlformats.org/officeDocument/2006/relationships/hyperlink" Target="https://www.youtube.com/watch?v=5JuK82cOJRk" TargetMode="External"/><Relationship Id="rId22" Type="http://schemas.openxmlformats.org/officeDocument/2006/relationships/hyperlink" Target="https://www.youtube.com/watch?v=_Aj6IqawVU8" TargetMode="External"/><Relationship Id="rId21" Type="http://schemas.openxmlformats.org/officeDocument/2006/relationships/hyperlink" Target="https://www.youtube.com/watch?v=lBu7kqTjXqc" TargetMode="External"/><Relationship Id="rId24" Type="http://schemas.openxmlformats.org/officeDocument/2006/relationships/hyperlink" Target="https://www.youtube.com/watch?v=dxLD-4NGDA8" TargetMode="External"/><Relationship Id="rId23" Type="http://schemas.openxmlformats.org/officeDocument/2006/relationships/hyperlink" Target="https://www.youtube.com/watch?v=p0Z7uuv6B9s" TargetMode="External"/><Relationship Id="rId26" Type="http://schemas.openxmlformats.org/officeDocument/2006/relationships/hyperlink" Target="https://www.youtube.com/watch?v=tBkHoEXhA5g" TargetMode="External"/><Relationship Id="rId25" Type="http://schemas.openxmlformats.org/officeDocument/2006/relationships/hyperlink" Target="https://www.youtube.com/watch?v=QyzMuEvokBQ" TargetMode="External"/><Relationship Id="rId28" Type="http://schemas.openxmlformats.org/officeDocument/2006/relationships/hyperlink" Target="https://www.youtube.com/watch?v=GtWNVW2UJQo" TargetMode="External"/><Relationship Id="rId27" Type="http://schemas.openxmlformats.org/officeDocument/2006/relationships/hyperlink" Target="https://www.youtube.com/watch?v=uF2g2osx4ps" TargetMode="External"/><Relationship Id="rId29" Type="http://schemas.openxmlformats.org/officeDocument/2006/relationships/hyperlink" Target="https://www.youtube.com/watch?v=KlnAL1Utc7k" TargetMode="External"/><Relationship Id="rId11" Type="http://schemas.openxmlformats.org/officeDocument/2006/relationships/hyperlink" Target="https://www.youtube.com/watch?v=VBQF-pNAC3w" TargetMode="External"/><Relationship Id="rId10" Type="http://schemas.openxmlformats.org/officeDocument/2006/relationships/hyperlink" Target="https://www.youtube.com/watch?v=YyUYFqfc8yI" TargetMode="External"/><Relationship Id="rId13" Type="http://schemas.openxmlformats.org/officeDocument/2006/relationships/hyperlink" Target="https://www.youtube.com/watch?v=i7lzcOuH4LM" TargetMode="External"/><Relationship Id="rId12" Type="http://schemas.openxmlformats.org/officeDocument/2006/relationships/hyperlink" Target="https://www.youtube.com/watch?v=uV--o18q9kk" TargetMode="External"/><Relationship Id="rId15" Type="http://schemas.openxmlformats.org/officeDocument/2006/relationships/hyperlink" Target="https://www.youtube.com/watch?v=bmvLcHjDwyA" TargetMode="External"/><Relationship Id="rId198" Type="http://schemas.openxmlformats.org/officeDocument/2006/relationships/hyperlink" Target="https://www.youtube.com/watch?v=_kwfZv9-ao4" TargetMode="External"/><Relationship Id="rId14" Type="http://schemas.openxmlformats.org/officeDocument/2006/relationships/hyperlink" Target="https://www.youtube.com/watch?v=SsuFh8BfEYw" TargetMode="External"/><Relationship Id="rId197" Type="http://schemas.openxmlformats.org/officeDocument/2006/relationships/hyperlink" Target="https://www.youtube.com/watch?v=MlPrVOd_BRE" TargetMode="External"/><Relationship Id="rId17" Type="http://schemas.openxmlformats.org/officeDocument/2006/relationships/hyperlink" Target="https://www.youtube.com/watch?v=W6EAg96w2HA" TargetMode="External"/><Relationship Id="rId196" Type="http://schemas.openxmlformats.org/officeDocument/2006/relationships/hyperlink" Target="https://www.youtube.com/watch?v=t47xRURl3qg" TargetMode="External"/><Relationship Id="rId16" Type="http://schemas.openxmlformats.org/officeDocument/2006/relationships/hyperlink" Target="https://www.youtube.com/watch?v=0wVyxI8yKOA" TargetMode="External"/><Relationship Id="rId195" Type="http://schemas.openxmlformats.org/officeDocument/2006/relationships/hyperlink" Target="https://www.youtube.com/watch?v=gIB8Ezb27Wo" TargetMode="External"/><Relationship Id="rId19" Type="http://schemas.openxmlformats.org/officeDocument/2006/relationships/hyperlink" Target="https://www.youtube.com/watch?v=E31KhRCQeXY" TargetMode="External"/><Relationship Id="rId18" Type="http://schemas.openxmlformats.org/officeDocument/2006/relationships/hyperlink" Target="https://www.youtube.com/watch?v=QJC8FaEO9vg" TargetMode="External"/><Relationship Id="rId199" Type="http://schemas.openxmlformats.org/officeDocument/2006/relationships/hyperlink" Target="https://www.youtube.com/watch?v=MSLULgpPgiM" TargetMode="External"/><Relationship Id="rId84" Type="http://schemas.openxmlformats.org/officeDocument/2006/relationships/hyperlink" Target="https://www.youtube.com/watch?v=wx6MAgaUFEw" TargetMode="External"/><Relationship Id="rId83" Type="http://schemas.openxmlformats.org/officeDocument/2006/relationships/hyperlink" Target="https://www.youtube.com/watch?v=A1d1NlAw3KE" TargetMode="External"/><Relationship Id="rId86" Type="http://schemas.openxmlformats.org/officeDocument/2006/relationships/hyperlink" Target="https://www.youtube.com/watch?v=OiwqN0YhZj0" TargetMode="External"/><Relationship Id="rId85" Type="http://schemas.openxmlformats.org/officeDocument/2006/relationships/hyperlink" Target="https://www.youtube.com/watch?v=xBNa03qmpYU" TargetMode="External"/><Relationship Id="rId88" Type="http://schemas.openxmlformats.org/officeDocument/2006/relationships/hyperlink" Target="https://www.youtube.com/watch?v=pFcs9BKK2Zw" TargetMode="External"/><Relationship Id="rId150" Type="http://schemas.openxmlformats.org/officeDocument/2006/relationships/hyperlink" Target="https://www.youtube.com/watch?v=upJByZoAlRg" TargetMode="External"/><Relationship Id="rId87" Type="http://schemas.openxmlformats.org/officeDocument/2006/relationships/hyperlink" Target="https://www.youtube.com/watch?v=CTQXkfELo6Y" TargetMode="External"/><Relationship Id="rId89" Type="http://schemas.openxmlformats.org/officeDocument/2006/relationships/hyperlink" Target="https://www.youtube.com/watch?v=bOw5Nfnb1B4" TargetMode="External"/><Relationship Id="rId80" Type="http://schemas.openxmlformats.org/officeDocument/2006/relationships/hyperlink" Target="https://www.youtube.com/watch?v=JBCAbCZqHaw" TargetMode="External"/><Relationship Id="rId82" Type="http://schemas.openxmlformats.org/officeDocument/2006/relationships/hyperlink" Target="https://www.youtube.com/watch?v=eRolAP6W41M" TargetMode="External"/><Relationship Id="rId81" Type="http://schemas.openxmlformats.org/officeDocument/2006/relationships/hyperlink" Target="https://www.youtube.com/watch?v=gfRP68X4Wis" TargetMode="External"/><Relationship Id="rId1" Type="http://schemas.openxmlformats.org/officeDocument/2006/relationships/hyperlink" Target="https://www.youtube.com/watch?v=-0reYkaFuOM" TargetMode="External"/><Relationship Id="rId2" Type="http://schemas.openxmlformats.org/officeDocument/2006/relationships/hyperlink" Target="https://www.youtube.com/watch?v=nCPXABnb4dc" TargetMode="External"/><Relationship Id="rId3" Type="http://schemas.openxmlformats.org/officeDocument/2006/relationships/hyperlink" Target="https://www.youtube.com/watch?v=6YAuk54ZC0c" TargetMode="External"/><Relationship Id="rId149" Type="http://schemas.openxmlformats.org/officeDocument/2006/relationships/hyperlink" Target="https://www.youtube.com/watch?v=JkQKttBQITk" TargetMode="External"/><Relationship Id="rId4" Type="http://schemas.openxmlformats.org/officeDocument/2006/relationships/hyperlink" Target="https://www.youtube.com/watch?v=F6XPY-TC_c8" TargetMode="External"/><Relationship Id="rId148" Type="http://schemas.openxmlformats.org/officeDocument/2006/relationships/hyperlink" Target="https://www.youtube.com/watch?v=mmMhJVEJV5w" TargetMode="External"/><Relationship Id="rId9" Type="http://schemas.openxmlformats.org/officeDocument/2006/relationships/hyperlink" Target="https://www.youtube.com/watch?v=kkdZjtGM8AU" TargetMode="External"/><Relationship Id="rId143" Type="http://schemas.openxmlformats.org/officeDocument/2006/relationships/hyperlink" Target="https://www.youtube.com/watch?v=R-PDPTJfVDc" TargetMode="External"/><Relationship Id="rId142" Type="http://schemas.openxmlformats.org/officeDocument/2006/relationships/hyperlink" Target="https://www.youtube.com/watch?v=ecYSNwjMCGk" TargetMode="External"/><Relationship Id="rId141" Type="http://schemas.openxmlformats.org/officeDocument/2006/relationships/hyperlink" Target="https://www.youtube.com/watch?v=AHvClPktlvE" TargetMode="External"/><Relationship Id="rId140" Type="http://schemas.openxmlformats.org/officeDocument/2006/relationships/hyperlink" Target="https://www.youtube.com/watch?v=R2WN_z4dvds" TargetMode="External"/><Relationship Id="rId5" Type="http://schemas.openxmlformats.org/officeDocument/2006/relationships/hyperlink" Target="https://www.youtube.com/watch?v=DqYDMAN379E" TargetMode="External"/><Relationship Id="rId147" Type="http://schemas.openxmlformats.org/officeDocument/2006/relationships/hyperlink" Target="https://www.youtube.com/watch?v=hrn3_JmfCK8" TargetMode="External"/><Relationship Id="rId6" Type="http://schemas.openxmlformats.org/officeDocument/2006/relationships/hyperlink" Target="https://www.youtube.com/watch?v=wtdCEyqWqyw" TargetMode="External"/><Relationship Id="rId146" Type="http://schemas.openxmlformats.org/officeDocument/2006/relationships/hyperlink" Target="https://www.youtube.com/watch?v=277qADCqzzc" TargetMode="External"/><Relationship Id="rId7" Type="http://schemas.openxmlformats.org/officeDocument/2006/relationships/hyperlink" Target="https://www.youtube.com/watch?v=rIUnFetcnzY" TargetMode="External"/><Relationship Id="rId145" Type="http://schemas.openxmlformats.org/officeDocument/2006/relationships/hyperlink" Target="https://www.youtube.com/watch?v=QvEAUCG7G34" TargetMode="External"/><Relationship Id="rId8" Type="http://schemas.openxmlformats.org/officeDocument/2006/relationships/hyperlink" Target="https://www.youtube.com/watch?v=vheBL9aHRgU" TargetMode="External"/><Relationship Id="rId144" Type="http://schemas.openxmlformats.org/officeDocument/2006/relationships/hyperlink" Target="https://www.youtube.com/watch?v=8p9BPaDbKe8" TargetMode="External"/><Relationship Id="rId73" Type="http://schemas.openxmlformats.org/officeDocument/2006/relationships/hyperlink" Target="https://www.youtube.com/watch?v=9_zCQl-RxQo" TargetMode="External"/><Relationship Id="rId72" Type="http://schemas.openxmlformats.org/officeDocument/2006/relationships/hyperlink" Target="https://www.youtube.com/watch?v=WzYw2U1_Be0" TargetMode="External"/><Relationship Id="rId75" Type="http://schemas.openxmlformats.org/officeDocument/2006/relationships/hyperlink" Target="https://www.youtube.com/watch?v=ZqUoNMjdnvg" TargetMode="External"/><Relationship Id="rId74" Type="http://schemas.openxmlformats.org/officeDocument/2006/relationships/hyperlink" Target="https://www.youtube.com/watch?v=iYsp7x5fe10" TargetMode="External"/><Relationship Id="rId77" Type="http://schemas.openxmlformats.org/officeDocument/2006/relationships/hyperlink" Target="https://www.youtube.com/watch?v=mnyA8DgpyG8" TargetMode="External"/><Relationship Id="rId76" Type="http://schemas.openxmlformats.org/officeDocument/2006/relationships/hyperlink" Target="https://www.youtube.com/watch?v=VorfpyAm9FE" TargetMode="External"/><Relationship Id="rId79" Type="http://schemas.openxmlformats.org/officeDocument/2006/relationships/hyperlink" Target="https://www.youtube.com/watch?v=OzYXkOI8ZPU" TargetMode="External"/><Relationship Id="rId78" Type="http://schemas.openxmlformats.org/officeDocument/2006/relationships/hyperlink" Target="https://www.youtube.com/watch?v=_7e___1ebEY" TargetMode="External"/><Relationship Id="rId71" Type="http://schemas.openxmlformats.org/officeDocument/2006/relationships/hyperlink" Target="https://www.youtube.com/watch?v=7UF8U4lX6zE" TargetMode="External"/><Relationship Id="rId70" Type="http://schemas.openxmlformats.org/officeDocument/2006/relationships/hyperlink" Target="https://www.youtube.com/watch?v=v8oA5bm1zKQ" TargetMode="External"/><Relationship Id="rId139" Type="http://schemas.openxmlformats.org/officeDocument/2006/relationships/hyperlink" Target="https://www.youtube.com/watch?v=vINrXpjaNg8" TargetMode="External"/><Relationship Id="rId138" Type="http://schemas.openxmlformats.org/officeDocument/2006/relationships/hyperlink" Target="https://www.youtube.com/watch?v=luJcjYwJb5Q" TargetMode="External"/><Relationship Id="rId137" Type="http://schemas.openxmlformats.org/officeDocument/2006/relationships/hyperlink" Target="https://www.youtube.com/watch?v=dyd8-KrG_Lk" TargetMode="External"/><Relationship Id="rId132" Type="http://schemas.openxmlformats.org/officeDocument/2006/relationships/hyperlink" Target="https://www.youtube.com/watch?v=X5NQrNSngNo" TargetMode="External"/><Relationship Id="rId253" Type="http://schemas.openxmlformats.org/officeDocument/2006/relationships/hyperlink" Target="https://www.youtube.com/watch?v=zFFV904XQiI" TargetMode="External"/><Relationship Id="rId131" Type="http://schemas.openxmlformats.org/officeDocument/2006/relationships/hyperlink" Target="https://www.youtube.com/watch?v=ZreTJwBd9bs" TargetMode="External"/><Relationship Id="rId252" Type="http://schemas.openxmlformats.org/officeDocument/2006/relationships/hyperlink" Target="https://www.youtube.com/watch?v=14OgrQqz8ls" TargetMode="External"/><Relationship Id="rId130" Type="http://schemas.openxmlformats.org/officeDocument/2006/relationships/hyperlink" Target="https://www.youtube.com/watch?v=Fucd3ruFBwk" TargetMode="External"/><Relationship Id="rId251" Type="http://schemas.openxmlformats.org/officeDocument/2006/relationships/hyperlink" Target="https://www.youtube.com/watch?v=bfCp49YPzak" TargetMode="External"/><Relationship Id="rId250" Type="http://schemas.openxmlformats.org/officeDocument/2006/relationships/hyperlink" Target="https://www.youtube.com/watch?v=iS2EcTAfWEY" TargetMode="External"/><Relationship Id="rId136" Type="http://schemas.openxmlformats.org/officeDocument/2006/relationships/hyperlink" Target="https://www.youtube.com/watch?v=ArcpGRk5Fr0" TargetMode="External"/><Relationship Id="rId135" Type="http://schemas.openxmlformats.org/officeDocument/2006/relationships/hyperlink" Target="https://www.youtube.com/watch?v=U60zgjEjC_U" TargetMode="External"/><Relationship Id="rId134" Type="http://schemas.openxmlformats.org/officeDocument/2006/relationships/hyperlink" Target="https://www.youtube.com/watch?v=CwGT4ajWMcs" TargetMode="External"/><Relationship Id="rId255" Type="http://schemas.openxmlformats.org/officeDocument/2006/relationships/drawing" Target="../drawings/drawing2.xml"/><Relationship Id="rId133" Type="http://schemas.openxmlformats.org/officeDocument/2006/relationships/hyperlink" Target="https://www.youtube.com/watch?v=mhSV0UszDnY" TargetMode="External"/><Relationship Id="rId254" Type="http://schemas.openxmlformats.org/officeDocument/2006/relationships/hyperlink" Target="https://www.youtube.com/watch?v=gXq7Aaz2dC4" TargetMode="External"/><Relationship Id="rId62" Type="http://schemas.openxmlformats.org/officeDocument/2006/relationships/hyperlink" Target="https://www.youtube.com/watch?v=2lwp0bz5hZg" TargetMode="External"/><Relationship Id="rId61" Type="http://schemas.openxmlformats.org/officeDocument/2006/relationships/hyperlink" Target="https://www.youtube.com/watch?v=MrFSosnImi0" TargetMode="External"/><Relationship Id="rId64" Type="http://schemas.openxmlformats.org/officeDocument/2006/relationships/hyperlink" Target="https://www.youtube.com/watch?v=J_dQ2efmtNI" TargetMode="External"/><Relationship Id="rId63" Type="http://schemas.openxmlformats.org/officeDocument/2006/relationships/hyperlink" Target="https://www.youtube.com/watch?v=nIVLP2gDJeI" TargetMode="External"/><Relationship Id="rId66" Type="http://schemas.openxmlformats.org/officeDocument/2006/relationships/hyperlink" Target="https://www.youtube.com/watch?v=Y2bGK8LB164" TargetMode="External"/><Relationship Id="rId172" Type="http://schemas.openxmlformats.org/officeDocument/2006/relationships/hyperlink" Target="https://www.youtube.com/watch?v=tMorchMo85A" TargetMode="External"/><Relationship Id="rId65" Type="http://schemas.openxmlformats.org/officeDocument/2006/relationships/hyperlink" Target="https://www.youtube.com/watch?v=YNJgns4oL3k" TargetMode="External"/><Relationship Id="rId171" Type="http://schemas.openxmlformats.org/officeDocument/2006/relationships/hyperlink" Target="https://www.youtube.com/watch?v=1gnTLH095Dw" TargetMode="External"/><Relationship Id="rId68" Type="http://schemas.openxmlformats.org/officeDocument/2006/relationships/hyperlink" Target="https://www.youtube.com/watch?v=_col3YYmXks" TargetMode="External"/><Relationship Id="rId170" Type="http://schemas.openxmlformats.org/officeDocument/2006/relationships/hyperlink" Target="https://www.youtube.com/watch?v=yh_u214ekJg" TargetMode="External"/><Relationship Id="rId67" Type="http://schemas.openxmlformats.org/officeDocument/2006/relationships/hyperlink" Target="https://www.youtube.com/watch?v=DQSfcOJocFc" TargetMode="External"/><Relationship Id="rId60" Type="http://schemas.openxmlformats.org/officeDocument/2006/relationships/hyperlink" Target="https://www.youtube.com/watch?v=gUrWN03CPuw" TargetMode="External"/><Relationship Id="rId165" Type="http://schemas.openxmlformats.org/officeDocument/2006/relationships/hyperlink" Target="https://www.youtube.com/watch?v=M7MbBnrBfjc" TargetMode="External"/><Relationship Id="rId69" Type="http://schemas.openxmlformats.org/officeDocument/2006/relationships/hyperlink" Target="https://www.youtube.com/watch?v=JX4lW9gqhiM" TargetMode="External"/><Relationship Id="rId164" Type="http://schemas.openxmlformats.org/officeDocument/2006/relationships/hyperlink" Target="https://www.youtube.com/watch?v=9zRW6imu6kg" TargetMode="External"/><Relationship Id="rId163" Type="http://schemas.openxmlformats.org/officeDocument/2006/relationships/hyperlink" Target="https://www.youtube.com/watch?v=H47MnLmzqdM" TargetMode="External"/><Relationship Id="rId162" Type="http://schemas.openxmlformats.org/officeDocument/2006/relationships/hyperlink" Target="https://www.youtube.com/watch?v=rxZy4YDvucs" TargetMode="External"/><Relationship Id="rId169" Type="http://schemas.openxmlformats.org/officeDocument/2006/relationships/hyperlink" Target="https://www.youtube.com/watch?v=4N7bb_W4ZvA" TargetMode="External"/><Relationship Id="rId168" Type="http://schemas.openxmlformats.org/officeDocument/2006/relationships/hyperlink" Target="https://www.youtube.com/watch?v=Cwd4c5b3H0A" TargetMode="External"/><Relationship Id="rId167" Type="http://schemas.openxmlformats.org/officeDocument/2006/relationships/hyperlink" Target="https://www.youtube.com/watch?v=fJWqKDjb680" TargetMode="External"/><Relationship Id="rId166" Type="http://schemas.openxmlformats.org/officeDocument/2006/relationships/hyperlink" Target="https://www.youtube.com/watch?v=lAGJ2BQhsKk" TargetMode="External"/><Relationship Id="rId51" Type="http://schemas.openxmlformats.org/officeDocument/2006/relationships/hyperlink" Target="https://www.youtube.com/watch?v=J3Ff0euPja0" TargetMode="External"/><Relationship Id="rId50" Type="http://schemas.openxmlformats.org/officeDocument/2006/relationships/hyperlink" Target="https://www.youtube.com/watch?v=h1pcuTgA7is" TargetMode="External"/><Relationship Id="rId53" Type="http://schemas.openxmlformats.org/officeDocument/2006/relationships/hyperlink" Target="https://www.youtube.com/watch?v=4dLncu6AtIU" TargetMode="External"/><Relationship Id="rId52" Type="http://schemas.openxmlformats.org/officeDocument/2006/relationships/hyperlink" Target="https://www.youtube.com/watch?v=b1ou7YAUq1o" TargetMode="External"/><Relationship Id="rId55" Type="http://schemas.openxmlformats.org/officeDocument/2006/relationships/hyperlink" Target="https://www.youtube.com/watch?v=KH8RNv3ZMZ4" TargetMode="External"/><Relationship Id="rId161" Type="http://schemas.openxmlformats.org/officeDocument/2006/relationships/hyperlink" Target="https://www.youtube.com/watch?v=5vL39BlJOX8" TargetMode="External"/><Relationship Id="rId54" Type="http://schemas.openxmlformats.org/officeDocument/2006/relationships/hyperlink" Target="https://www.youtube.com/watch?v=H-O9FGP0X4U" TargetMode="External"/><Relationship Id="rId160" Type="http://schemas.openxmlformats.org/officeDocument/2006/relationships/hyperlink" Target="https://www.youtube.com/watch?v=96iyFtNhecI" TargetMode="External"/><Relationship Id="rId57" Type="http://schemas.openxmlformats.org/officeDocument/2006/relationships/hyperlink" Target="https://www.youtube.com/watch?v=D90JXn4ceME" TargetMode="External"/><Relationship Id="rId56" Type="http://schemas.openxmlformats.org/officeDocument/2006/relationships/hyperlink" Target="https://www.youtube.com/watch?v=g-9MotYaWfM" TargetMode="External"/><Relationship Id="rId159" Type="http://schemas.openxmlformats.org/officeDocument/2006/relationships/hyperlink" Target="https://www.youtube.com/watch?v=-eI4UCo7jsU" TargetMode="External"/><Relationship Id="rId59" Type="http://schemas.openxmlformats.org/officeDocument/2006/relationships/hyperlink" Target="https://www.youtube.com/watch?v=23mqY3dihHw" TargetMode="External"/><Relationship Id="rId154" Type="http://schemas.openxmlformats.org/officeDocument/2006/relationships/hyperlink" Target="https://www.youtube.com/watch?v=1z63xaiPCy0" TargetMode="External"/><Relationship Id="rId58" Type="http://schemas.openxmlformats.org/officeDocument/2006/relationships/hyperlink" Target="https://www.youtube.com/watch?v=xr88nnL1RBM" TargetMode="External"/><Relationship Id="rId153" Type="http://schemas.openxmlformats.org/officeDocument/2006/relationships/hyperlink" Target="https://www.youtube.com/watch?v=JjENtlk5W4Y" TargetMode="External"/><Relationship Id="rId152" Type="http://schemas.openxmlformats.org/officeDocument/2006/relationships/hyperlink" Target="https://www.youtube.com/watch?v=Ds3AkXo6P6Q" TargetMode="External"/><Relationship Id="rId151" Type="http://schemas.openxmlformats.org/officeDocument/2006/relationships/hyperlink" Target="https://www.youtube.com/watch?v=jd0uIdr7DQQ" TargetMode="External"/><Relationship Id="rId158" Type="http://schemas.openxmlformats.org/officeDocument/2006/relationships/hyperlink" Target="https://www.youtube.com/watch?v=00eqY2k0agg" TargetMode="External"/><Relationship Id="rId157" Type="http://schemas.openxmlformats.org/officeDocument/2006/relationships/hyperlink" Target="https://www.youtube.com/watch?v=17JIKE-xf2M" TargetMode="External"/><Relationship Id="rId156" Type="http://schemas.openxmlformats.org/officeDocument/2006/relationships/hyperlink" Target="https://www.youtube.com/watch?v=LRbOdu3Nm-w" TargetMode="External"/><Relationship Id="rId155" Type="http://schemas.openxmlformats.org/officeDocument/2006/relationships/hyperlink" Target="https://www.youtube.com/watch?v=LcKJC5nRscA" TargetMode="External"/><Relationship Id="rId107" Type="http://schemas.openxmlformats.org/officeDocument/2006/relationships/hyperlink" Target="https://www.youtube.com/watch?v=piY7u4r8D6c" TargetMode="External"/><Relationship Id="rId228" Type="http://schemas.openxmlformats.org/officeDocument/2006/relationships/hyperlink" Target="https://www.youtube.com/watch?v=_VjcMMJt7YQ" TargetMode="External"/><Relationship Id="rId106" Type="http://schemas.openxmlformats.org/officeDocument/2006/relationships/hyperlink" Target="https://www.youtube.com/watch?v=jOAz9ipA5aw" TargetMode="External"/><Relationship Id="rId227" Type="http://schemas.openxmlformats.org/officeDocument/2006/relationships/hyperlink" Target="https://www.youtube.com/watch?v=18_8krEcxOQ" TargetMode="External"/><Relationship Id="rId105" Type="http://schemas.openxmlformats.org/officeDocument/2006/relationships/hyperlink" Target="https://www.youtube.com/watch?v=pvyRNoGqC9U" TargetMode="External"/><Relationship Id="rId226" Type="http://schemas.openxmlformats.org/officeDocument/2006/relationships/hyperlink" Target="https://www.youtube.com/watch?v=xuwHQpd0vFw" TargetMode="External"/><Relationship Id="rId104" Type="http://schemas.openxmlformats.org/officeDocument/2006/relationships/hyperlink" Target="https://www.youtube.com/watch?v=uwtf_9xZU10" TargetMode="External"/><Relationship Id="rId225" Type="http://schemas.openxmlformats.org/officeDocument/2006/relationships/hyperlink" Target="https://www.youtube.com/watch?v=sHwK9jm9sks" TargetMode="External"/><Relationship Id="rId109" Type="http://schemas.openxmlformats.org/officeDocument/2006/relationships/hyperlink" Target="https://www.youtube.com/watch?v=SkBOJQzm3Xw" TargetMode="External"/><Relationship Id="rId108" Type="http://schemas.openxmlformats.org/officeDocument/2006/relationships/hyperlink" Target="https://www.youtube.com/watch?v=Af27SN0TmsY" TargetMode="External"/><Relationship Id="rId229" Type="http://schemas.openxmlformats.org/officeDocument/2006/relationships/hyperlink" Target="https://www.youtube.com/watch?v=Zc8R653WAts" TargetMode="External"/><Relationship Id="rId220" Type="http://schemas.openxmlformats.org/officeDocument/2006/relationships/hyperlink" Target="https://www.youtube.com/watch?v=UleYOgcc8eA" TargetMode="External"/><Relationship Id="rId103" Type="http://schemas.openxmlformats.org/officeDocument/2006/relationships/hyperlink" Target="https://www.youtube.com/watch?v=YKjdGR6Dg8g" TargetMode="External"/><Relationship Id="rId224" Type="http://schemas.openxmlformats.org/officeDocument/2006/relationships/hyperlink" Target="https://www.youtube.com/watch?v=oDQG4c0tggw" TargetMode="External"/><Relationship Id="rId102" Type="http://schemas.openxmlformats.org/officeDocument/2006/relationships/hyperlink" Target="https://www.youtube.com/watch?v=km3NwmlPy3Q" TargetMode="External"/><Relationship Id="rId223" Type="http://schemas.openxmlformats.org/officeDocument/2006/relationships/hyperlink" Target="https://www.youtube.com/watch?v=cWqqelCocXU" TargetMode="External"/><Relationship Id="rId101" Type="http://schemas.openxmlformats.org/officeDocument/2006/relationships/hyperlink" Target="https://www.youtube.com/watch?v=L_6XVf6IiNA" TargetMode="External"/><Relationship Id="rId222" Type="http://schemas.openxmlformats.org/officeDocument/2006/relationships/hyperlink" Target="https://www.youtube.com/watch?v=-mYrGbNFZJQ" TargetMode="External"/><Relationship Id="rId100" Type="http://schemas.openxmlformats.org/officeDocument/2006/relationships/hyperlink" Target="https://www.youtube.com/watch?v=8YbJfNbqGng" TargetMode="External"/><Relationship Id="rId221" Type="http://schemas.openxmlformats.org/officeDocument/2006/relationships/hyperlink" Target="https://www.youtube.com/watch?v=6_MJ3rWquJc" TargetMode="External"/><Relationship Id="rId217" Type="http://schemas.openxmlformats.org/officeDocument/2006/relationships/hyperlink" Target="https://www.youtube.com/watch?v=DI2w8F_7S6U" TargetMode="External"/><Relationship Id="rId216" Type="http://schemas.openxmlformats.org/officeDocument/2006/relationships/hyperlink" Target="https://www.youtube.com/watch?v=cxdxPtkLXEE" TargetMode="External"/><Relationship Id="rId215" Type="http://schemas.openxmlformats.org/officeDocument/2006/relationships/hyperlink" Target="https://www.youtube.com/watch?v=KSRbkS8bO_4" TargetMode="External"/><Relationship Id="rId214" Type="http://schemas.openxmlformats.org/officeDocument/2006/relationships/hyperlink" Target="https://www.youtube.com/watch?v=vTwk2LyYROY" TargetMode="External"/><Relationship Id="rId219" Type="http://schemas.openxmlformats.org/officeDocument/2006/relationships/hyperlink" Target="https://www.youtube.com/watch?v=db5kO96xD10" TargetMode="External"/><Relationship Id="rId218" Type="http://schemas.openxmlformats.org/officeDocument/2006/relationships/hyperlink" Target="https://www.youtube.com/watch?v=RV10M0f5aMM" TargetMode="External"/><Relationship Id="rId213" Type="http://schemas.openxmlformats.org/officeDocument/2006/relationships/hyperlink" Target="https://www.youtube.com/watch?v=x-X_V0r593E" TargetMode="External"/><Relationship Id="rId212" Type="http://schemas.openxmlformats.org/officeDocument/2006/relationships/hyperlink" Target="https://www.youtube.com/watch?v=wGOR9kFNMy8" TargetMode="External"/><Relationship Id="rId211" Type="http://schemas.openxmlformats.org/officeDocument/2006/relationships/hyperlink" Target="https://www.youtube.com/watch?v=oJt57oDEJRs" TargetMode="External"/><Relationship Id="rId210" Type="http://schemas.openxmlformats.org/officeDocument/2006/relationships/hyperlink" Target="https://www.youtube.com/watch?v=ymDG3Qcc2K4" TargetMode="External"/><Relationship Id="rId129" Type="http://schemas.openxmlformats.org/officeDocument/2006/relationships/hyperlink" Target="https://www.youtube.com/watch?v=3xa3Q34LcAw" TargetMode="External"/><Relationship Id="rId128" Type="http://schemas.openxmlformats.org/officeDocument/2006/relationships/hyperlink" Target="https://www.youtube.com/watch?v=dt8c1Sf5hfs" TargetMode="External"/><Relationship Id="rId249" Type="http://schemas.openxmlformats.org/officeDocument/2006/relationships/hyperlink" Target="https://www.youtube.com/watch?v=R-DMN-YrBJ8" TargetMode="External"/><Relationship Id="rId127" Type="http://schemas.openxmlformats.org/officeDocument/2006/relationships/hyperlink" Target="https://www.youtube.com/watch?v=c5ik1xts7js" TargetMode="External"/><Relationship Id="rId248" Type="http://schemas.openxmlformats.org/officeDocument/2006/relationships/hyperlink" Target="https://www.youtube.com/watch?v=Ru8AuzYLKUE" TargetMode="External"/><Relationship Id="rId126" Type="http://schemas.openxmlformats.org/officeDocument/2006/relationships/hyperlink" Target="https://www.youtube.com/watch?v=pgVDj57vo0I" TargetMode="External"/><Relationship Id="rId247" Type="http://schemas.openxmlformats.org/officeDocument/2006/relationships/hyperlink" Target="https://www.youtube.com/watch?v=h73cf7TP9Oc" TargetMode="External"/><Relationship Id="rId121" Type="http://schemas.openxmlformats.org/officeDocument/2006/relationships/hyperlink" Target="https://www.youtube.com/watch?v=lG6ouNQj6BE" TargetMode="External"/><Relationship Id="rId242" Type="http://schemas.openxmlformats.org/officeDocument/2006/relationships/hyperlink" Target="https://www.youtube.com/watch?v=jg1sEojLqOA" TargetMode="External"/><Relationship Id="rId120" Type="http://schemas.openxmlformats.org/officeDocument/2006/relationships/hyperlink" Target="https://www.youtube.com/watch?v=qKmJPbEyRnM" TargetMode="External"/><Relationship Id="rId241" Type="http://schemas.openxmlformats.org/officeDocument/2006/relationships/hyperlink" Target="https://www.youtube.com/watch?v=zGaAM8Jaapg" TargetMode="External"/><Relationship Id="rId240" Type="http://schemas.openxmlformats.org/officeDocument/2006/relationships/hyperlink" Target="https://www.youtube.com/watch?v=LoPEB2N2En8" TargetMode="External"/><Relationship Id="rId125" Type="http://schemas.openxmlformats.org/officeDocument/2006/relationships/hyperlink" Target="https://www.youtube.com/watch?v=hhIRQ_ot9D8" TargetMode="External"/><Relationship Id="rId246" Type="http://schemas.openxmlformats.org/officeDocument/2006/relationships/hyperlink" Target="https://www.youtube.com/watch?v=e0I_k6_1wzs" TargetMode="External"/><Relationship Id="rId124" Type="http://schemas.openxmlformats.org/officeDocument/2006/relationships/hyperlink" Target="https://www.youtube.com/watch?v=AU-NbSGgHgU" TargetMode="External"/><Relationship Id="rId245" Type="http://schemas.openxmlformats.org/officeDocument/2006/relationships/hyperlink" Target="https://www.youtube.com/watch?v=IDymjKxYEZ8" TargetMode="External"/><Relationship Id="rId123" Type="http://schemas.openxmlformats.org/officeDocument/2006/relationships/hyperlink" Target="https://www.youtube.com/watch?v=IggCUSFOvZM" TargetMode="External"/><Relationship Id="rId244" Type="http://schemas.openxmlformats.org/officeDocument/2006/relationships/hyperlink" Target="https://www.youtube.com/watch?v=4yZprcPHX_k" TargetMode="External"/><Relationship Id="rId122" Type="http://schemas.openxmlformats.org/officeDocument/2006/relationships/hyperlink" Target="https://www.youtube.com/watch?v=nZkz6zrpXIk" TargetMode="External"/><Relationship Id="rId243" Type="http://schemas.openxmlformats.org/officeDocument/2006/relationships/hyperlink" Target="https://www.youtube.com/watch?v=Xp-oBMIA--s" TargetMode="External"/><Relationship Id="rId95" Type="http://schemas.openxmlformats.org/officeDocument/2006/relationships/hyperlink" Target="https://www.youtube.com/watch?v=f5o-RQY7YMg" TargetMode="External"/><Relationship Id="rId94" Type="http://schemas.openxmlformats.org/officeDocument/2006/relationships/hyperlink" Target="https://www.youtube.com/watch?v=R5GwHHDY6ps" TargetMode="External"/><Relationship Id="rId97" Type="http://schemas.openxmlformats.org/officeDocument/2006/relationships/hyperlink" Target="https://www.youtube.com/watch?v=3OhNRcwSMl0" TargetMode="External"/><Relationship Id="rId96" Type="http://schemas.openxmlformats.org/officeDocument/2006/relationships/hyperlink" Target="https://www.youtube.com/watch?v=78jKikSwl3c" TargetMode="External"/><Relationship Id="rId99" Type="http://schemas.openxmlformats.org/officeDocument/2006/relationships/hyperlink" Target="https://www.youtube.com/watch?v=Ry7d6TE6QpA" TargetMode="External"/><Relationship Id="rId98" Type="http://schemas.openxmlformats.org/officeDocument/2006/relationships/hyperlink" Target="https://www.youtube.com/watch?v=An2Le89ifxI" TargetMode="External"/><Relationship Id="rId91" Type="http://schemas.openxmlformats.org/officeDocument/2006/relationships/hyperlink" Target="https://www.youtube.com/watch?v=4uFPXYqA_HY" TargetMode="External"/><Relationship Id="rId90" Type="http://schemas.openxmlformats.org/officeDocument/2006/relationships/hyperlink" Target="https://www.youtube.com/watch?v=h7iN8UUd9M8" TargetMode="External"/><Relationship Id="rId93" Type="http://schemas.openxmlformats.org/officeDocument/2006/relationships/hyperlink" Target="https://www.youtube.com/watch?v=ognb4Wt5ZdU" TargetMode="External"/><Relationship Id="rId92" Type="http://schemas.openxmlformats.org/officeDocument/2006/relationships/hyperlink" Target="https://www.youtube.com/watch?v=O5vFE-MU0SY" TargetMode="External"/><Relationship Id="rId118" Type="http://schemas.openxmlformats.org/officeDocument/2006/relationships/hyperlink" Target="https://www.youtube.com/watch?v=LylzCmGzyBs" TargetMode="External"/><Relationship Id="rId239" Type="http://schemas.openxmlformats.org/officeDocument/2006/relationships/hyperlink" Target="https://www.youtube.com/watch?v=i9ob7etOPFs" TargetMode="External"/><Relationship Id="rId117" Type="http://schemas.openxmlformats.org/officeDocument/2006/relationships/hyperlink" Target="https://www.youtube.com/watch?v=ZNfMmPy66II" TargetMode="External"/><Relationship Id="rId238" Type="http://schemas.openxmlformats.org/officeDocument/2006/relationships/hyperlink" Target="https://www.youtube.com/watch?v=JqmNW5hb8CQ" TargetMode="External"/><Relationship Id="rId116" Type="http://schemas.openxmlformats.org/officeDocument/2006/relationships/hyperlink" Target="https://www.youtube.com/watch?v=ZNfMmPy66II" TargetMode="External"/><Relationship Id="rId237" Type="http://schemas.openxmlformats.org/officeDocument/2006/relationships/hyperlink" Target="https://www.youtube.com/watch?v=MKoAGMJI-a4" TargetMode="External"/><Relationship Id="rId115" Type="http://schemas.openxmlformats.org/officeDocument/2006/relationships/hyperlink" Target="https://www.youtube.com/watch?v=euHTrSA6unM" TargetMode="External"/><Relationship Id="rId236" Type="http://schemas.openxmlformats.org/officeDocument/2006/relationships/hyperlink" Target="https://www.youtube.com/watch?v=5klMiBksVqk" TargetMode="External"/><Relationship Id="rId119" Type="http://schemas.openxmlformats.org/officeDocument/2006/relationships/hyperlink" Target="https://www.youtube.com/watch?v=-5-StDaOQFY" TargetMode="External"/><Relationship Id="rId110" Type="http://schemas.openxmlformats.org/officeDocument/2006/relationships/hyperlink" Target="https://www.youtube.com/watch?v=Gk8BBOkAWk8" TargetMode="External"/><Relationship Id="rId231" Type="http://schemas.openxmlformats.org/officeDocument/2006/relationships/hyperlink" Target="https://www.youtube.com/watch?v=EC1Lf65cpoA" TargetMode="External"/><Relationship Id="rId230" Type="http://schemas.openxmlformats.org/officeDocument/2006/relationships/hyperlink" Target="https://www.youtube.com/watch?v=scXnHqDa82I" TargetMode="External"/><Relationship Id="rId114" Type="http://schemas.openxmlformats.org/officeDocument/2006/relationships/hyperlink" Target="https://www.youtube.com/watch?v=KSXYjrqXXy4" TargetMode="External"/><Relationship Id="rId235" Type="http://schemas.openxmlformats.org/officeDocument/2006/relationships/hyperlink" Target="https://www.youtube.com/watch?v=MM6IZkyJof4" TargetMode="External"/><Relationship Id="rId113" Type="http://schemas.openxmlformats.org/officeDocument/2006/relationships/hyperlink" Target="https://www.youtube.com/watch?v=hKR5LpXX1iI" TargetMode="External"/><Relationship Id="rId234" Type="http://schemas.openxmlformats.org/officeDocument/2006/relationships/hyperlink" Target="https://www.youtube.com/watch?v=QLhMw-6SutY" TargetMode="External"/><Relationship Id="rId112" Type="http://schemas.openxmlformats.org/officeDocument/2006/relationships/hyperlink" Target="https://www.youtube.com/watch?v=auC01zi01iU" TargetMode="External"/><Relationship Id="rId233" Type="http://schemas.openxmlformats.org/officeDocument/2006/relationships/hyperlink" Target="https://www.youtube.com/watch?v=GULYROT6ppo" TargetMode="External"/><Relationship Id="rId111" Type="http://schemas.openxmlformats.org/officeDocument/2006/relationships/hyperlink" Target="https://www.youtube.com/watch?v=1mlQSU4MR4k" TargetMode="External"/><Relationship Id="rId232" Type="http://schemas.openxmlformats.org/officeDocument/2006/relationships/hyperlink" Target="https://www.youtube.com/watch?v=0QSdoP2SXIs" TargetMode="External"/><Relationship Id="rId206" Type="http://schemas.openxmlformats.org/officeDocument/2006/relationships/hyperlink" Target="https://www.youtube.com/watch?v=i-SdbhC_Ltk" TargetMode="External"/><Relationship Id="rId205" Type="http://schemas.openxmlformats.org/officeDocument/2006/relationships/hyperlink" Target="https://www.youtube.com/watch?v=g9UrQBMNPbA" TargetMode="External"/><Relationship Id="rId204" Type="http://schemas.openxmlformats.org/officeDocument/2006/relationships/hyperlink" Target="https://www.youtube.com/watch?v=ZD2sHb35mhg" TargetMode="External"/><Relationship Id="rId203" Type="http://schemas.openxmlformats.org/officeDocument/2006/relationships/hyperlink" Target="https://www.youtube.com/watch?v=X65jBjgj9ls" TargetMode="External"/><Relationship Id="rId209" Type="http://schemas.openxmlformats.org/officeDocument/2006/relationships/hyperlink" Target="https://www.youtube.com/watch?v=3MWotZKqj7o" TargetMode="External"/><Relationship Id="rId208" Type="http://schemas.openxmlformats.org/officeDocument/2006/relationships/hyperlink" Target="https://www.youtube.com/watch?v=WbtezxB7qKs" TargetMode="External"/><Relationship Id="rId207" Type="http://schemas.openxmlformats.org/officeDocument/2006/relationships/hyperlink" Target="https://www.youtube.com/watch?v=jVKRmXvtb00" TargetMode="External"/><Relationship Id="rId202" Type="http://schemas.openxmlformats.org/officeDocument/2006/relationships/hyperlink" Target="https://www.youtube.com/watch?v=KsA9UXaMqME" TargetMode="External"/><Relationship Id="rId201" Type="http://schemas.openxmlformats.org/officeDocument/2006/relationships/hyperlink" Target="https://www.youtube.com/watch?v=MWPPpImWsEg" TargetMode="External"/><Relationship Id="rId200" Type="http://schemas.openxmlformats.org/officeDocument/2006/relationships/hyperlink" Target="https://www.youtube.com/watch?v=bG3xeD9plPg" TargetMode="External"/></Relationships>
</file>

<file path=xl/worksheets/_rels/sheet3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youtube.com/watch?v=aJh5CGfdS1w" TargetMode="External"/><Relationship Id="rId190" Type="http://schemas.openxmlformats.org/officeDocument/2006/relationships/hyperlink" Target="https://www.youtube.com/watch?v=rXBsV0u9ljU" TargetMode="External"/><Relationship Id="rId42" Type="http://schemas.openxmlformats.org/officeDocument/2006/relationships/hyperlink" Target="https://www.youtube.com/watch?v=6d_zphsIBmM" TargetMode="External"/><Relationship Id="rId41" Type="http://schemas.openxmlformats.org/officeDocument/2006/relationships/hyperlink" Target="https://www.youtube.com/watch?v=6zrnUhnkyYY" TargetMode="External"/><Relationship Id="rId44" Type="http://schemas.openxmlformats.org/officeDocument/2006/relationships/hyperlink" Target="https://www.youtube.com/watch?v=rVNNm-PLR64" TargetMode="External"/><Relationship Id="rId194" Type="http://schemas.openxmlformats.org/officeDocument/2006/relationships/hyperlink" Target="https://www.youtube.com/watch?v=jN_aiCE834Q" TargetMode="External"/><Relationship Id="rId43" Type="http://schemas.openxmlformats.org/officeDocument/2006/relationships/hyperlink" Target="https://www.youtube.com/watch?v=vSw6D3G8ybM" TargetMode="External"/><Relationship Id="rId193" Type="http://schemas.openxmlformats.org/officeDocument/2006/relationships/hyperlink" Target="https://www.youtube.com/watch?v=HZKKti8oM94" TargetMode="External"/><Relationship Id="rId46" Type="http://schemas.openxmlformats.org/officeDocument/2006/relationships/hyperlink" Target="https://www.youtube.com/watch?v=poCgPHFMUWc" TargetMode="External"/><Relationship Id="rId192" Type="http://schemas.openxmlformats.org/officeDocument/2006/relationships/hyperlink" Target="https://www.youtube.com/watch?v=mGMwMPvmJwA" TargetMode="External"/><Relationship Id="rId45" Type="http://schemas.openxmlformats.org/officeDocument/2006/relationships/hyperlink" Target="https://www.youtube.com/watch?v=9gelRBxEZf8" TargetMode="External"/><Relationship Id="rId191" Type="http://schemas.openxmlformats.org/officeDocument/2006/relationships/hyperlink" Target="https://www.youtube.com/watch?v=RVinLa2-xIw" TargetMode="External"/><Relationship Id="rId48" Type="http://schemas.openxmlformats.org/officeDocument/2006/relationships/hyperlink" Target="https://www.youtube.com/watch?v=rexl024afPY&amp;feature=youtu.be" TargetMode="External"/><Relationship Id="rId187" Type="http://schemas.openxmlformats.org/officeDocument/2006/relationships/hyperlink" Target="https://www.youtube.com/watch?v=-IqL6nABj48" TargetMode="External"/><Relationship Id="rId47" Type="http://schemas.openxmlformats.org/officeDocument/2006/relationships/hyperlink" Target="https://www.youtube.com/watch?v=sGabg22TUmU" TargetMode="External"/><Relationship Id="rId186" Type="http://schemas.openxmlformats.org/officeDocument/2006/relationships/hyperlink" Target="https://www.youtube.com/watch?v=RTUBNShU8mU" TargetMode="External"/><Relationship Id="rId185" Type="http://schemas.openxmlformats.org/officeDocument/2006/relationships/hyperlink" Target="https://www.youtube.com/watch?v=B9oNjZpohpk" TargetMode="External"/><Relationship Id="rId49" Type="http://schemas.openxmlformats.org/officeDocument/2006/relationships/hyperlink" Target="https://www.youtube.com/watch?v=OzasRJkTQts" TargetMode="External"/><Relationship Id="rId184" Type="http://schemas.openxmlformats.org/officeDocument/2006/relationships/hyperlink" Target="https://www.youtube.com/watch?v=GUDfe4MDkEk" TargetMode="External"/><Relationship Id="rId189" Type="http://schemas.openxmlformats.org/officeDocument/2006/relationships/hyperlink" Target="https://www.youtube.com/watch?v=1LAYqnpBVtU" TargetMode="External"/><Relationship Id="rId188" Type="http://schemas.openxmlformats.org/officeDocument/2006/relationships/hyperlink" Target="https://www.youtube.com/watch?v=99hNgbhPhGo" TargetMode="External"/><Relationship Id="rId31" Type="http://schemas.openxmlformats.org/officeDocument/2006/relationships/hyperlink" Target="https://www.youtube.com/watch?v=zrU-e-Iweo4" TargetMode="External"/><Relationship Id="rId30" Type="http://schemas.openxmlformats.org/officeDocument/2006/relationships/hyperlink" Target="https://www.youtube.com/watch?v=57tfI7pdduY" TargetMode="External"/><Relationship Id="rId33" Type="http://schemas.openxmlformats.org/officeDocument/2006/relationships/hyperlink" Target="https://www.youtube.com/watch?v=fP-vPv5hrRs" TargetMode="External"/><Relationship Id="rId183" Type="http://schemas.openxmlformats.org/officeDocument/2006/relationships/hyperlink" Target="https://www.youtube.com/watch?v=BsUY40uJhDI" TargetMode="External"/><Relationship Id="rId32" Type="http://schemas.openxmlformats.org/officeDocument/2006/relationships/hyperlink" Target="https://www.youtube.com/watch?v=ufkeHJAr8Xw" TargetMode="External"/><Relationship Id="rId182" Type="http://schemas.openxmlformats.org/officeDocument/2006/relationships/hyperlink" Target="https://www.youtube.com/watch?v=0AUG55eY6Zo" TargetMode="External"/><Relationship Id="rId35" Type="http://schemas.openxmlformats.org/officeDocument/2006/relationships/hyperlink" Target="https://www.youtube.com/watch?v=5ANfjwQ2j9I" TargetMode="External"/><Relationship Id="rId181" Type="http://schemas.openxmlformats.org/officeDocument/2006/relationships/hyperlink" Target="https://www.youtube.com/watch?v=xqpKNoG_HKc" TargetMode="External"/><Relationship Id="rId34" Type="http://schemas.openxmlformats.org/officeDocument/2006/relationships/hyperlink" Target="https://www.youtube.com/watch?v=X845KnRRv98" TargetMode="External"/><Relationship Id="rId180" Type="http://schemas.openxmlformats.org/officeDocument/2006/relationships/hyperlink" Target="https://www.youtube.com/watch?v=nK6uEO-tghY" TargetMode="External"/><Relationship Id="rId37" Type="http://schemas.openxmlformats.org/officeDocument/2006/relationships/hyperlink" Target="https://www.youtube.com/watch?v=V-hMeV5Bw0A" TargetMode="External"/><Relationship Id="rId176" Type="http://schemas.openxmlformats.org/officeDocument/2006/relationships/hyperlink" Target="https://www.youtube.com/watch?v=7aQNfalhXZI" TargetMode="External"/><Relationship Id="rId36" Type="http://schemas.openxmlformats.org/officeDocument/2006/relationships/hyperlink" Target="https://www.youtube.com/watch?v=lZtw2J_VmPo" TargetMode="External"/><Relationship Id="rId175" Type="http://schemas.openxmlformats.org/officeDocument/2006/relationships/hyperlink" Target="https://www.youtube.com/watch?v=TJ3M42MCcYc" TargetMode="External"/><Relationship Id="rId39" Type="http://schemas.openxmlformats.org/officeDocument/2006/relationships/hyperlink" Target="https://www.youtube.com/watch?v=iMaJLYOk2Y4" TargetMode="External"/><Relationship Id="rId174" Type="http://schemas.openxmlformats.org/officeDocument/2006/relationships/hyperlink" Target="https://www.youtube.com/watch?v=XuEMctTS65g" TargetMode="External"/><Relationship Id="rId38" Type="http://schemas.openxmlformats.org/officeDocument/2006/relationships/hyperlink" Target="https://www.youtube.com/watch?v=ypowpvO8CF8" TargetMode="External"/><Relationship Id="rId173" Type="http://schemas.openxmlformats.org/officeDocument/2006/relationships/hyperlink" Target="https://www.youtube.com/watch?v=UW6Trlth92g" TargetMode="External"/><Relationship Id="rId179" Type="http://schemas.openxmlformats.org/officeDocument/2006/relationships/hyperlink" Target="https://www.youtube.com/watch?v=NMIv3GM6Nkg" TargetMode="External"/><Relationship Id="rId178" Type="http://schemas.openxmlformats.org/officeDocument/2006/relationships/hyperlink" Target="https://www.youtube.com/watch?v=6jr_g8oVuG8" TargetMode="External"/><Relationship Id="rId177" Type="http://schemas.openxmlformats.org/officeDocument/2006/relationships/hyperlink" Target="https://www.youtube.com/watch?v=LdzbyqSpOy4" TargetMode="External"/><Relationship Id="rId20" Type="http://schemas.openxmlformats.org/officeDocument/2006/relationships/hyperlink" Target="https://www.youtube.com/watch?v=z8xj889RL1o" TargetMode="External"/><Relationship Id="rId22" Type="http://schemas.openxmlformats.org/officeDocument/2006/relationships/hyperlink" Target="https://www.youtube.com/watch?v=yJviyDFPNsU" TargetMode="External"/><Relationship Id="rId21" Type="http://schemas.openxmlformats.org/officeDocument/2006/relationships/hyperlink" Target="https://www.youtube.com/watch?v=sEgnWhqqTwk" TargetMode="External"/><Relationship Id="rId24" Type="http://schemas.openxmlformats.org/officeDocument/2006/relationships/hyperlink" Target="https://www.youtube.com/watch?v=xTPnZFFBM6k" TargetMode="External"/><Relationship Id="rId23" Type="http://schemas.openxmlformats.org/officeDocument/2006/relationships/hyperlink" Target="https://www.youtube.com/watch?v=WNGAXirSyt4" TargetMode="External"/><Relationship Id="rId26" Type="http://schemas.openxmlformats.org/officeDocument/2006/relationships/hyperlink" Target="https://www.youtube.com/watch?v=C4nF9NdUbG8" TargetMode="External"/><Relationship Id="rId25" Type="http://schemas.openxmlformats.org/officeDocument/2006/relationships/hyperlink" Target="https://www.youtube.com/watch?v=ogKp7IwEq2k" TargetMode="External"/><Relationship Id="rId28" Type="http://schemas.openxmlformats.org/officeDocument/2006/relationships/hyperlink" Target="https://www.youtube.com/watch?v=oQohgrLFZR0" TargetMode="External"/><Relationship Id="rId27" Type="http://schemas.openxmlformats.org/officeDocument/2006/relationships/hyperlink" Target="https://www.youtube.com/watch?v=sK16Xi7nE6o" TargetMode="External"/><Relationship Id="rId29" Type="http://schemas.openxmlformats.org/officeDocument/2006/relationships/hyperlink" Target="https://www.youtube.com/watch?v=SJ9zNfRax2I" TargetMode="External"/><Relationship Id="rId11" Type="http://schemas.openxmlformats.org/officeDocument/2006/relationships/hyperlink" Target="https://www.youtube.com/watch?v=CU_y6tO9Pzg" TargetMode="External"/><Relationship Id="rId10" Type="http://schemas.openxmlformats.org/officeDocument/2006/relationships/hyperlink" Target="https://www.youtube.com/watch?v=d-plT32Yq-Y" TargetMode="External"/><Relationship Id="rId13" Type="http://schemas.openxmlformats.org/officeDocument/2006/relationships/hyperlink" Target="https://www.youtube.com/watch?v=YQ_VzS14RHs" TargetMode="External"/><Relationship Id="rId12" Type="http://schemas.openxmlformats.org/officeDocument/2006/relationships/hyperlink" Target="https://www.youtube.com/watch?v=eigRBBUOpZA" TargetMode="External"/><Relationship Id="rId15" Type="http://schemas.openxmlformats.org/officeDocument/2006/relationships/hyperlink" Target="https://www.youtube.com/watch?v=Xx8CQAuq7M0" TargetMode="External"/><Relationship Id="rId198" Type="http://schemas.openxmlformats.org/officeDocument/2006/relationships/hyperlink" Target="https://www.youtube.com/watch?v=pdb9o7PMKnE" TargetMode="External"/><Relationship Id="rId14" Type="http://schemas.openxmlformats.org/officeDocument/2006/relationships/hyperlink" Target="https://www.youtube.com/watch?v=nbbJP55_lgE" TargetMode="External"/><Relationship Id="rId197" Type="http://schemas.openxmlformats.org/officeDocument/2006/relationships/hyperlink" Target="https://www.youtube.com/watch?v=d3UnY--vdTg" TargetMode="External"/><Relationship Id="rId17" Type="http://schemas.openxmlformats.org/officeDocument/2006/relationships/hyperlink" Target="https://www.youtube.com/watch?v=JuWnYcq0MyI" TargetMode="External"/><Relationship Id="rId196" Type="http://schemas.openxmlformats.org/officeDocument/2006/relationships/hyperlink" Target="https://www.youtube.com/watch?v=24AWsCIFRfo" TargetMode="External"/><Relationship Id="rId16" Type="http://schemas.openxmlformats.org/officeDocument/2006/relationships/hyperlink" Target="https://www.youtube.com/watch?v=TpMh0f2c2nM" TargetMode="External"/><Relationship Id="rId195" Type="http://schemas.openxmlformats.org/officeDocument/2006/relationships/hyperlink" Target="https://www.youtube.com/watch?v=EBi4Rpm-6SQ" TargetMode="External"/><Relationship Id="rId19" Type="http://schemas.openxmlformats.org/officeDocument/2006/relationships/hyperlink" Target="https://www.youtube.com/watch?v=YeJGX6uyooM" TargetMode="External"/><Relationship Id="rId18" Type="http://schemas.openxmlformats.org/officeDocument/2006/relationships/hyperlink" Target="https://www.youtube.com/watch?v=NhTm54ymI4M" TargetMode="External"/><Relationship Id="rId199" Type="http://schemas.openxmlformats.org/officeDocument/2006/relationships/hyperlink" Target="https://www.youtube.com/watch?v=lMoAbpJlQn0" TargetMode="External"/><Relationship Id="rId84" Type="http://schemas.openxmlformats.org/officeDocument/2006/relationships/hyperlink" Target="https://www.youtube.com/watch?v=D7DuHRA92DI" TargetMode="External"/><Relationship Id="rId83" Type="http://schemas.openxmlformats.org/officeDocument/2006/relationships/hyperlink" Target="https://www.youtube.com/watch?v=E8H49JAuWMk" TargetMode="External"/><Relationship Id="rId86" Type="http://schemas.openxmlformats.org/officeDocument/2006/relationships/hyperlink" Target="https://www.youtube.com/watch?v=5Aeg8V9tS6s" TargetMode="External"/><Relationship Id="rId85" Type="http://schemas.openxmlformats.org/officeDocument/2006/relationships/hyperlink" Target="https://www.youtube.com/watch?v=N13pYqbcCJI" TargetMode="External"/><Relationship Id="rId88" Type="http://schemas.openxmlformats.org/officeDocument/2006/relationships/hyperlink" Target="https://www.youtube.com/watch?v=ZnExzOop9-I" TargetMode="External"/><Relationship Id="rId150" Type="http://schemas.openxmlformats.org/officeDocument/2006/relationships/hyperlink" Target="https://www.youtube.com/watch?v=lgUi4lj-u8M" TargetMode="External"/><Relationship Id="rId87" Type="http://schemas.openxmlformats.org/officeDocument/2006/relationships/hyperlink" Target="https://www.youtube.com/watch?v=E8IKNnZdXds" TargetMode="External"/><Relationship Id="rId89" Type="http://schemas.openxmlformats.org/officeDocument/2006/relationships/hyperlink" Target="https://www.youtube.com/watch?v=Gb62u1rHuxs" TargetMode="External"/><Relationship Id="rId80" Type="http://schemas.openxmlformats.org/officeDocument/2006/relationships/hyperlink" Target="https://www.youtube.com/watch?v=4LA_zVxrTJQ" TargetMode="External"/><Relationship Id="rId82" Type="http://schemas.openxmlformats.org/officeDocument/2006/relationships/hyperlink" Target="https://www.youtube.com/watch?v=h4UxlAffKqs" TargetMode="External"/><Relationship Id="rId81" Type="http://schemas.openxmlformats.org/officeDocument/2006/relationships/hyperlink" Target="https://www.youtube.com/watch?v=NfyccENjF6k" TargetMode="External"/><Relationship Id="rId1" Type="http://schemas.openxmlformats.org/officeDocument/2006/relationships/hyperlink" Target="https://www.youtube.com/watch?v=u6YwxddnnJw" TargetMode="External"/><Relationship Id="rId2" Type="http://schemas.openxmlformats.org/officeDocument/2006/relationships/hyperlink" Target="https://www.youtube.com/watch?v=MFaZBTDakIA" TargetMode="External"/><Relationship Id="rId3" Type="http://schemas.openxmlformats.org/officeDocument/2006/relationships/hyperlink" Target="https://www.youtube.com/watch?v=Ny4NNAgkZ7E" TargetMode="External"/><Relationship Id="rId149" Type="http://schemas.openxmlformats.org/officeDocument/2006/relationships/hyperlink" Target="https://www.youtube.com/watch?v=ycc7ShqNSM8" TargetMode="External"/><Relationship Id="rId4" Type="http://schemas.openxmlformats.org/officeDocument/2006/relationships/hyperlink" Target="https://www.youtube.com/watch?v=IMHL_Ll7SmA" TargetMode="External"/><Relationship Id="rId148" Type="http://schemas.openxmlformats.org/officeDocument/2006/relationships/hyperlink" Target="https://www.youtube.com/watch?v=ExcWRuuKl6M" TargetMode="External"/><Relationship Id="rId9" Type="http://schemas.openxmlformats.org/officeDocument/2006/relationships/hyperlink" Target="https://www.youtube.com/watch?v=q1-x3r8B5Yo" TargetMode="External"/><Relationship Id="rId143" Type="http://schemas.openxmlformats.org/officeDocument/2006/relationships/hyperlink" Target="https://www.youtube.com/watch?v=6-JQCCNoTUc" TargetMode="External"/><Relationship Id="rId142" Type="http://schemas.openxmlformats.org/officeDocument/2006/relationships/hyperlink" Target="https://www.youtube.com/watch?v=dl773LA8GDE" TargetMode="External"/><Relationship Id="rId141" Type="http://schemas.openxmlformats.org/officeDocument/2006/relationships/hyperlink" Target="https://www.youtube.com/watch?v=fbCMY_3KSTs" TargetMode="External"/><Relationship Id="rId140" Type="http://schemas.openxmlformats.org/officeDocument/2006/relationships/hyperlink" Target="https://www.youtube.com/watch?v=rjEar_7Tn0g" TargetMode="External"/><Relationship Id="rId5" Type="http://schemas.openxmlformats.org/officeDocument/2006/relationships/hyperlink" Target="https://www.youtube.com/watch?v=GihvxGOXH_A" TargetMode="External"/><Relationship Id="rId147" Type="http://schemas.openxmlformats.org/officeDocument/2006/relationships/hyperlink" Target="https://www.youtube.com/watch?v=ZEdC0p2tWbk" TargetMode="External"/><Relationship Id="rId6" Type="http://schemas.openxmlformats.org/officeDocument/2006/relationships/hyperlink" Target="https://www.youtube.com/watch?v=y_SHmj8GZsY" TargetMode="External"/><Relationship Id="rId146" Type="http://schemas.openxmlformats.org/officeDocument/2006/relationships/hyperlink" Target="https://www.youtube.com/watch?v=lQNLgQnNQDk" TargetMode="External"/><Relationship Id="rId7" Type="http://schemas.openxmlformats.org/officeDocument/2006/relationships/hyperlink" Target="https://www.youtube.com/watch?v=BOSsWIC2A2w" TargetMode="External"/><Relationship Id="rId145" Type="http://schemas.openxmlformats.org/officeDocument/2006/relationships/hyperlink" Target="https://www.youtube.com/watch?v=zkCFLEoUm-I" TargetMode="External"/><Relationship Id="rId8" Type="http://schemas.openxmlformats.org/officeDocument/2006/relationships/hyperlink" Target="https://www.youtube.com/watch?v=mN7K4Uqp38A" TargetMode="External"/><Relationship Id="rId144" Type="http://schemas.openxmlformats.org/officeDocument/2006/relationships/hyperlink" Target="https://www.youtube.com/watch?v=KvB_8cPGwSI" TargetMode="External"/><Relationship Id="rId73" Type="http://schemas.openxmlformats.org/officeDocument/2006/relationships/hyperlink" Target="https://www.youtube.com/watch?v=NOuLzVzzxqw" TargetMode="External"/><Relationship Id="rId72" Type="http://schemas.openxmlformats.org/officeDocument/2006/relationships/hyperlink" Target="https://www.youtube.com/watch?v=iLJm5CASLzA" TargetMode="External"/><Relationship Id="rId75" Type="http://schemas.openxmlformats.org/officeDocument/2006/relationships/hyperlink" Target="https://www.youtube.com/watch?v=dsJ-gXInL6s" TargetMode="External"/><Relationship Id="rId74" Type="http://schemas.openxmlformats.org/officeDocument/2006/relationships/hyperlink" Target="https://www.youtube.com/watch?v=4Z66oOYajLY" TargetMode="External"/><Relationship Id="rId77" Type="http://schemas.openxmlformats.org/officeDocument/2006/relationships/hyperlink" Target="https://www.youtube.com/watch?v=ZM1AT-a00Gc" TargetMode="External"/><Relationship Id="rId76" Type="http://schemas.openxmlformats.org/officeDocument/2006/relationships/hyperlink" Target="https://www.youtube.com/watch?v=Dj5XZ3QE_60" TargetMode="External"/><Relationship Id="rId79" Type="http://schemas.openxmlformats.org/officeDocument/2006/relationships/hyperlink" Target="https://www.youtube.com/watch?v=4kYbM2C8BK0" TargetMode="External"/><Relationship Id="rId78" Type="http://schemas.openxmlformats.org/officeDocument/2006/relationships/hyperlink" Target="https://www.youtube.com/watch?v=KOXM6_YvjME" TargetMode="External"/><Relationship Id="rId71" Type="http://schemas.openxmlformats.org/officeDocument/2006/relationships/hyperlink" Target="https://www.youtube.com/watch?v=guCOkL4ib_I" TargetMode="External"/><Relationship Id="rId70" Type="http://schemas.openxmlformats.org/officeDocument/2006/relationships/hyperlink" Target="https://www.youtube.com/watch?v=Xs1vtWXDZHs" TargetMode="External"/><Relationship Id="rId139" Type="http://schemas.openxmlformats.org/officeDocument/2006/relationships/hyperlink" Target="https://www.youtube.com/watch?v=U0HD8O9A0Tg" TargetMode="External"/><Relationship Id="rId138" Type="http://schemas.openxmlformats.org/officeDocument/2006/relationships/hyperlink" Target="https://www.youtube.com/watch?v=eqE8LwAYrhY" TargetMode="External"/><Relationship Id="rId137" Type="http://schemas.openxmlformats.org/officeDocument/2006/relationships/hyperlink" Target="https://www.youtube.com/watch?v=fbU9DTpdP5s" TargetMode="External"/><Relationship Id="rId132" Type="http://schemas.openxmlformats.org/officeDocument/2006/relationships/hyperlink" Target="https://www.youtube.com/watch?v=bhdmfrY6UJo" TargetMode="External"/><Relationship Id="rId131" Type="http://schemas.openxmlformats.org/officeDocument/2006/relationships/hyperlink" Target="https://www.youtube.com/watch?v=3r3UgXU6t-0" TargetMode="External"/><Relationship Id="rId130" Type="http://schemas.openxmlformats.org/officeDocument/2006/relationships/hyperlink" Target="https://www.youtube.com/watch?v=UKtx-BOzRZ8" TargetMode="External"/><Relationship Id="rId136" Type="http://schemas.openxmlformats.org/officeDocument/2006/relationships/hyperlink" Target="https://www.youtube.com/watch?v=r2weHcKAof8" TargetMode="External"/><Relationship Id="rId135" Type="http://schemas.openxmlformats.org/officeDocument/2006/relationships/hyperlink" Target="https://www.youtube.com/watch?v=bveC5oVPNC4" TargetMode="External"/><Relationship Id="rId134" Type="http://schemas.openxmlformats.org/officeDocument/2006/relationships/hyperlink" Target="https://www.youtube.com/watch?v=Pk8IWEArchI" TargetMode="External"/><Relationship Id="rId133" Type="http://schemas.openxmlformats.org/officeDocument/2006/relationships/hyperlink" Target="https://www.youtube.com/watch?v=xktWfV3h9wQ" TargetMode="External"/><Relationship Id="rId62" Type="http://schemas.openxmlformats.org/officeDocument/2006/relationships/hyperlink" Target="https://www.youtube.com/watch?v=TJscAExnh3U" TargetMode="External"/><Relationship Id="rId61" Type="http://schemas.openxmlformats.org/officeDocument/2006/relationships/hyperlink" Target="https://www.youtube.com/watch?v=Rou5h2j9bo4" TargetMode="External"/><Relationship Id="rId64" Type="http://schemas.openxmlformats.org/officeDocument/2006/relationships/hyperlink" Target="https://www.youtube.com/watch?v=qEDt5Ufky8k" TargetMode="External"/><Relationship Id="rId63" Type="http://schemas.openxmlformats.org/officeDocument/2006/relationships/hyperlink" Target="https://www.youtube.com/watch?v=HVEuysEzFQs" TargetMode="External"/><Relationship Id="rId66" Type="http://schemas.openxmlformats.org/officeDocument/2006/relationships/hyperlink" Target="https://www.youtube.com/watch?v=hXO-yx_vffk" TargetMode="External"/><Relationship Id="rId172" Type="http://schemas.openxmlformats.org/officeDocument/2006/relationships/hyperlink" Target="https://www.youtube.com/watch?v=nWU52zoNFZM" TargetMode="External"/><Relationship Id="rId65" Type="http://schemas.openxmlformats.org/officeDocument/2006/relationships/hyperlink" Target="https://www.youtube.com/watch?v=Dq2MZz1o5BI" TargetMode="External"/><Relationship Id="rId171" Type="http://schemas.openxmlformats.org/officeDocument/2006/relationships/hyperlink" Target="https://www.youtube.com/watch?v=wzaish53xLE" TargetMode="External"/><Relationship Id="rId68" Type="http://schemas.openxmlformats.org/officeDocument/2006/relationships/hyperlink" Target="https://www.youtube.com/watch?v=exgCl9eY11I" TargetMode="External"/><Relationship Id="rId170" Type="http://schemas.openxmlformats.org/officeDocument/2006/relationships/hyperlink" Target="https://www.youtube.com/watch?v=iYJCCR8dtuM" TargetMode="External"/><Relationship Id="rId67" Type="http://schemas.openxmlformats.org/officeDocument/2006/relationships/hyperlink" Target="https://www.youtube.com/watch?v=6nZt1MUg9fA" TargetMode="External"/><Relationship Id="rId60" Type="http://schemas.openxmlformats.org/officeDocument/2006/relationships/hyperlink" Target="https://www.youtube.com/watch?v=mlePEnGP-Ew" TargetMode="External"/><Relationship Id="rId165" Type="http://schemas.openxmlformats.org/officeDocument/2006/relationships/hyperlink" Target="https://www.youtube.com/watch?v=9aBCA-0_vPQ" TargetMode="External"/><Relationship Id="rId69" Type="http://schemas.openxmlformats.org/officeDocument/2006/relationships/hyperlink" Target="https://www.youtube.com/watch?v=thf8lDlGgF8" TargetMode="External"/><Relationship Id="rId164" Type="http://schemas.openxmlformats.org/officeDocument/2006/relationships/hyperlink" Target="https://www.youtube.com/watch?v=3y57siNCh9o" TargetMode="External"/><Relationship Id="rId163" Type="http://schemas.openxmlformats.org/officeDocument/2006/relationships/hyperlink" Target="https://www.youtube.com/watch?v=H2dFHu7pvUs" TargetMode="External"/><Relationship Id="rId162" Type="http://schemas.openxmlformats.org/officeDocument/2006/relationships/hyperlink" Target="https://www.youtube.com/watch?v=cfIClkeYxlc" TargetMode="External"/><Relationship Id="rId169" Type="http://schemas.openxmlformats.org/officeDocument/2006/relationships/hyperlink" Target="https://www.youtube.com/watch?v=JQXCEf-sLtk" TargetMode="External"/><Relationship Id="rId168" Type="http://schemas.openxmlformats.org/officeDocument/2006/relationships/hyperlink" Target="https://www.youtube.com/watch?v=v-EJC5wyk2s" TargetMode="External"/><Relationship Id="rId167" Type="http://schemas.openxmlformats.org/officeDocument/2006/relationships/hyperlink" Target="https://www.youtube.com/watch?v=sSw2AXUtUSM" TargetMode="External"/><Relationship Id="rId166" Type="http://schemas.openxmlformats.org/officeDocument/2006/relationships/hyperlink" Target="https://www.youtube.com/watch?v=pLmO3POs_KQ" TargetMode="External"/><Relationship Id="rId51" Type="http://schemas.openxmlformats.org/officeDocument/2006/relationships/hyperlink" Target="https://www.youtube.com/watch?v=EHbA1Zm8p88" TargetMode="External"/><Relationship Id="rId50" Type="http://schemas.openxmlformats.org/officeDocument/2006/relationships/hyperlink" Target="https://www.youtube.com/watch?v=RKwzUWqdK7I" TargetMode="External"/><Relationship Id="rId53" Type="http://schemas.openxmlformats.org/officeDocument/2006/relationships/hyperlink" Target="https://www.youtube.com/watch?v=ydvBc9fO0Sk" TargetMode="External"/><Relationship Id="rId52" Type="http://schemas.openxmlformats.org/officeDocument/2006/relationships/hyperlink" Target="https://www.youtube.com/watch?v=Lza20-B6eA8" TargetMode="External"/><Relationship Id="rId55" Type="http://schemas.openxmlformats.org/officeDocument/2006/relationships/hyperlink" Target="https://www.youtube.com/watch?v=lacUiAxgiTw" TargetMode="External"/><Relationship Id="rId161" Type="http://schemas.openxmlformats.org/officeDocument/2006/relationships/hyperlink" Target="https://www.youtube.com/watch?v=Q1medivS14I" TargetMode="External"/><Relationship Id="rId54" Type="http://schemas.openxmlformats.org/officeDocument/2006/relationships/hyperlink" Target="https://www.youtube.com/watch?v=HyMHa_Co608" TargetMode="External"/><Relationship Id="rId160" Type="http://schemas.openxmlformats.org/officeDocument/2006/relationships/hyperlink" Target="https://www.youtube.com/watch?v=mpqNYn5-kVk" TargetMode="External"/><Relationship Id="rId57" Type="http://schemas.openxmlformats.org/officeDocument/2006/relationships/hyperlink" Target="https://www.youtube.com/watch?v=EN7MyZyKrCE" TargetMode="External"/><Relationship Id="rId56" Type="http://schemas.openxmlformats.org/officeDocument/2006/relationships/hyperlink" Target="https://www.youtube.com/watch?v=-BsmTJzVkJk" TargetMode="External"/><Relationship Id="rId159" Type="http://schemas.openxmlformats.org/officeDocument/2006/relationships/hyperlink" Target="https://www.youtube.com/watch?v=GMc1wwGqmIg" TargetMode="External"/><Relationship Id="rId59" Type="http://schemas.openxmlformats.org/officeDocument/2006/relationships/hyperlink" Target="https://www.youtube.com/watch?v=lQ_CTXWYjo0" TargetMode="External"/><Relationship Id="rId154" Type="http://schemas.openxmlformats.org/officeDocument/2006/relationships/hyperlink" Target="https://www.youtube.com/watch?v=0rYNtPgStmk" TargetMode="External"/><Relationship Id="rId58" Type="http://schemas.openxmlformats.org/officeDocument/2006/relationships/hyperlink" Target="https://www.youtube.com/watch?v=kf5_w74lZvk" TargetMode="External"/><Relationship Id="rId153" Type="http://schemas.openxmlformats.org/officeDocument/2006/relationships/hyperlink" Target="https://www.youtube.com/watch?v=6QPuZkEZB38" TargetMode="External"/><Relationship Id="rId152" Type="http://schemas.openxmlformats.org/officeDocument/2006/relationships/hyperlink" Target="https://www.youtube.com/watch?v=tZP2d7PPhqw" TargetMode="External"/><Relationship Id="rId151" Type="http://schemas.openxmlformats.org/officeDocument/2006/relationships/hyperlink" Target="https://www.youtube.com/watch?v=uv7FpNeGVeI" TargetMode="External"/><Relationship Id="rId158" Type="http://schemas.openxmlformats.org/officeDocument/2006/relationships/hyperlink" Target="https://www.youtube.com/watch?v=YY0KBpdn7ag" TargetMode="External"/><Relationship Id="rId157" Type="http://schemas.openxmlformats.org/officeDocument/2006/relationships/hyperlink" Target="https://www.youtube.com/watch?v=ZZnd78fJ8WI" TargetMode="External"/><Relationship Id="rId156" Type="http://schemas.openxmlformats.org/officeDocument/2006/relationships/hyperlink" Target="https://www.youtube.com/watch?v=zIOQrHcxMfQ" TargetMode="External"/><Relationship Id="rId155" Type="http://schemas.openxmlformats.org/officeDocument/2006/relationships/hyperlink" Target="https://www.youtube.com/watch?v=4dlsAiulFls" TargetMode="External"/><Relationship Id="rId107" Type="http://schemas.openxmlformats.org/officeDocument/2006/relationships/hyperlink" Target="https://www.youtube.com/watch?v=1Hs7WTgb7aw" TargetMode="External"/><Relationship Id="rId228" Type="http://schemas.openxmlformats.org/officeDocument/2006/relationships/hyperlink" Target="https://www.youtube.com/watch?v=inyr5lNMrjs" TargetMode="External"/><Relationship Id="rId106" Type="http://schemas.openxmlformats.org/officeDocument/2006/relationships/hyperlink" Target="https://www.youtube.com/watch?v=qUfZMwtm-Gk" TargetMode="External"/><Relationship Id="rId227" Type="http://schemas.openxmlformats.org/officeDocument/2006/relationships/hyperlink" Target="https://www.youtube.com/watch?v=Tm6Rp6tEQvM" TargetMode="External"/><Relationship Id="rId105" Type="http://schemas.openxmlformats.org/officeDocument/2006/relationships/hyperlink" Target="https://www.youtube.com/watch?v=PmnD3kX64OM" TargetMode="External"/><Relationship Id="rId226" Type="http://schemas.openxmlformats.org/officeDocument/2006/relationships/hyperlink" Target="https://www.youtube.com/watch?v=b-iXkdYObG8" TargetMode="External"/><Relationship Id="rId104" Type="http://schemas.openxmlformats.org/officeDocument/2006/relationships/hyperlink" Target="https://www.youtube.com/watch?v=YSwPYiCzjBE" TargetMode="External"/><Relationship Id="rId225" Type="http://schemas.openxmlformats.org/officeDocument/2006/relationships/hyperlink" Target="https://www.youtube.com/watch?v=Z5JAOTPCn7A" TargetMode="External"/><Relationship Id="rId109" Type="http://schemas.openxmlformats.org/officeDocument/2006/relationships/hyperlink" Target="https://www.youtube.com/watch?v=fcvSBZCF8h8" TargetMode="External"/><Relationship Id="rId108" Type="http://schemas.openxmlformats.org/officeDocument/2006/relationships/hyperlink" Target="https://www.youtube.com/watch?v=_Bvm6GmyoUw" TargetMode="External"/><Relationship Id="rId229" Type="http://schemas.openxmlformats.org/officeDocument/2006/relationships/hyperlink" Target="https://www.youtube.com/watch?v=KazwjM9uWNc" TargetMode="External"/><Relationship Id="rId220" Type="http://schemas.openxmlformats.org/officeDocument/2006/relationships/hyperlink" Target="https://www.youtube.com/watch?v=beFPyLjUxl0" TargetMode="External"/><Relationship Id="rId103" Type="http://schemas.openxmlformats.org/officeDocument/2006/relationships/hyperlink" Target="https://www.youtube.com/watch?v=cYjBM2i69H8" TargetMode="External"/><Relationship Id="rId224" Type="http://schemas.openxmlformats.org/officeDocument/2006/relationships/hyperlink" Target="https://www.youtube.com/watch?v=hZfsHBmAdfE" TargetMode="External"/><Relationship Id="rId102" Type="http://schemas.openxmlformats.org/officeDocument/2006/relationships/hyperlink" Target="https://www.youtube.com/watch?v=GNGsQIiFu2g" TargetMode="External"/><Relationship Id="rId223" Type="http://schemas.openxmlformats.org/officeDocument/2006/relationships/hyperlink" Target="https://www.youtube.com/watch?v=9Dpuj9PVKkk" TargetMode="External"/><Relationship Id="rId101" Type="http://schemas.openxmlformats.org/officeDocument/2006/relationships/hyperlink" Target="https://www.youtube.com/watch?v=NVU_YRh_X94" TargetMode="External"/><Relationship Id="rId222" Type="http://schemas.openxmlformats.org/officeDocument/2006/relationships/hyperlink" Target="https://www.youtube.com/watch?v=fSwxh6znCpg" TargetMode="External"/><Relationship Id="rId100" Type="http://schemas.openxmlformats.org/officeDocument/2006/relationships/hyperlink" Target="https://www.youtube.com/watch?v=iA9CkcGfz2c" TargetMode="External"/><Relationship Id="rId221" Type="http://schemas.openxmlformats.org/officeDocument/2006/relationships/hyperlink" Target="https://www.youtube.com/watch?v=4IdHQoAV-JI" TargetMode="External"/><Relationship Id="rId217" Type="http://schemas.openxmlformats.org/officeDocument/2006/relationships/hyperlink" Target="https://www.youtube.com/watch?v=7CQJkAHlrmE" TargetMode="External"/><Relationship Id="rId216" Type="http://schemas.openxmlformats.org/officeDocument/2006/relationships/hyperlink" Target="https://www.youtube.com/watch?v=qMOKTg2ueyo" TargetMode="External"/><Relationship Id="rId215" Type="http://schemas.openxmlformats.org/officeDocument/2006/relationships/hyperlink" Target="https://www.youtube.com/watch?v=_Vf1xOFRBXk" TargetMode="External"/><Relationship Id="rId214" Type="http://schemas.openxmlformats.org/officeDocument/2006/relationships/hyperlink" Target="https://www.youtube.com/watch?v=mJYykgrd_UU" TargetMode="External"/><Relationship Id="rId219" Type="http://schemas.openxmlformats.org/officeDocument/2006/relationships/hyperlink" Target="https://www.youtube.com/watch?v=0zXpj0nv5Gc" TargetMode="External"/><Relationship Id="rId218" Type="http://schemas.openxmlformats.org/officeDocument/2006/relationships/hyperlink" Target="https://www.youtube.com/watch?v=bqgqvDa2AIs" TargetMode="External"/><Relationship Id="rId213" Type="http://schemas.openxmlformats.org/officeDocument/2006/relationships/hyperlink" Target="https://www.youtube.com/watch?v=H6ud0YMZnjs" TargetMode="External"/><Relationship Id="rId212" Type="http://schemas.openxmlformats.org/officeDocument/2006/relationships/hyperlink" Target="https://www.youtube.com/watch?v=uR5fiK29PxY" TargetMode="External"/><Relationship Id="rId211" Type="http://schemas.openxmlformats.org/officeDocument/2006/relationships/hyperlink" Target="https://www.youtube.com/watch?v=xEvInXQZmSc" TargetMode="External"/><Relationship Id="rId210" Type="http://schemas.openxmlformats.org/officeDocument/2006/relationships/hyperlink" Target="https://www.youtube.com/watch?v=rTM1jIvJFV4" TargetMode="External"/><Relationship Id="rId129" Type="http://schemas.openxmlformats.org/officeDocument/2006/relationships/hyperlink" Target="https://www.youtube.com/watch?v=6JEhBgrHNYk" TargetMode="External"/><Relationship Id="rId128" Type="http://schemas.openxmlformats.org/officeDocument/2006/relationships/hyperlink" Target="https://www.youtube.com/watch?v=rxUcoxaIT3A" TargetMode="External"/><Relationship Id="rId127" Type="http://schemas.openxmlformats.org/officeDocument/2006/relationships/hyperlink" Target="https://www.youtube.com/watch?v=VFW6FQnwBLk" TargetMode="External"/><Relationship Id="rId126" Type="http://schemas.openxmlformats.org/officeDocument/2006/relationships/hyperlink" Target="https://www.youtube.com/watch?v=4fW3fstr2yM" TargetMode="External"/><Relationship Id="rId121" Type="http://schemas.openxmlformats.org/officeDocument/2006/relationships/hyperlink" Target="https://www.youtube.com/watch?v=0Q_yfCU6L6c" TargetMode="External"/><Relationship Id="rId242" Type="http://schemas.openxmlformats.org/officeDocument/2006/relationships/hyperlink" Target="https://www.youtube.com/watch?v=eIOQ8-LVLVM" TargetMode="External"/><Relationship Id="rId120" Type="http://schemas.openxmlformats.org/officeDocument/2006/relationships/hyperlink" Target="https://www.youtube.com/watch?v=E2IxIppYDF8" TargetMode="External"/><Relationship Id="rId241" Type="http://schemas.openxmlformats.org/officeDocument/2006/relationships/hyperlink" Target="https://www.youtube.com/watch?v=FDts2z1ObDE" TargetMode="External"/><Relationship Id="rId240" Type="http://schemas.openxmlformats.org/officeDocument/2006/relationships/hyperlink" Target="https://www.youtube.com/watch?v=Gb6UQGic0Pw" TargetMode="External"/><Relationship Id="rId125" Type="http://schemas.openxmlformats.org/officeDocument/2006/relationships/hyperlink" Target="https://www.youtube.com/watch?v=45gOnv3-eOk" TargetMode="External"/><Relationship Id="rId124" Type="http://schemas.openxmlformats.org/officeDocument/2006/relationships/hyperlink" Target="https://www.youtube.com/watch?v=Dw3kouO61Ps" TargetMode="External"/><Relationship Id="rId245" Type="http://schemas.openxmlformats.org/officeDocument/2006/relationships/drawing" Target="../drawings/drawing3.xml"/><Relationship Id="rId123" Type="http://schemas.openxmlformats.org/officeDocument/2006/relationships/hyperlink" Target="https://www.youtube.com/watch?v=olmnQhfPLBQ" TargetMode="External"/><Relationship Id="rId244" Type="http://schemas.openxmlformats.org/officeDocument/2006/relationships/hyperlink" Target="https://www.youtube.com/watch?v=kgN_hQ8xUt0" TargetMode="External"/><Relationship Id="rId122" Type="http://schemas.openxmlformats.org/officeDocument/2006/relationships/hyperlink" Target="https://www.youtube.com/watch?v=XBOT_QdwRPY" TargetMode="External"/><Relationship Id="rId243" Type="http://schemas.openxmlformats.org/officeDocument/2006/relationships/hyperlink" Target="https://www.youtube.com/watch?v=lKGXTNwzhPo" TargetMode="External"/><Relationship Id="rId95" Type="http://schemas.openxmlformats.org/officeDocument/2006/relationships/hyperlink" Target="https://www.youtube.com/watch?v=2u9ZO-H94iM" TargetMode="External"/><Relationship Id="rId94" Type="http://schemas.openxmlformats.org/officeDocument/2006/relationships/hyperlink" Target="https://www.youtube.com/watch?v=MSeZjRKg9Fs" TargetMode="External"/><Relationship Id="rId97" Type="http://schemas.openxmlformats.org/officeDocument/2006/relationships/hyperlink" Target="https://www.youtube.com/watch?v=sldHn9m4tRg" TargetMode="External"/><Relationship Id="rId96" Type="http://schemas.openxmlformats.org/officeDocument/2006/relationships/hyperlink" Target="https://www.youtube.com/watch?v=cpighhNy1vA" TargetMode="External"/><Relationship Id="rId99" Type="http://schemas.openxmlformats.org/officeDocument/2006/relationships/hyperlink" Target="https://www.youtube.com/watch?v=hokQLY7ycHQ" TargetMode="External"/><Relationship Id="rId98" Type="http://schemas.openxmlformats.org/officeDocument/2006/relationships/hyperlink" Target="https://www.youtube.com/watch?v=_BExv-DiLS0" TargetMode="External"/><Relationship Id="rId91" Type="http://schemas.openxmlformats.org/officeDocument/2006/relationships/hyperlink" Target="https://www.youtube.com/watch?v=UsfsRoRibJo" TargetMode="External"/><Relationship Id="rId90" Type="http://schemas.openxmlformats.org/officeDocument/2006/relationships/hyperlink" Target="https://www.youtube.com/watch?v=fkIFXe5f5a8" TargetMode="External"/><Relationship Id="rId93" Type="http://schemas.openxmlformats.org/officeDocument/2006/relationships/hyperlink" Target="https://www.youtube.com/watch?v=D14Mfv9-vgU" TargetMode="External"/><Relationship Id="rId92" Type="http://schemas.openxmlformats.org/officeDocument/2006/relationships/hyperlink" Target="https://www.youtube.com/watch?v=zUIo3VAewfs" TargetMode="External"/><Relationship Id="rId118" Type="http://schemas.openxmlformats.org/officeDocument/2006/relationships/hyperlink" Target="https://www.youtube.com/watch?v=wDeGBAYWXUw" TargetMode="External"/><Relationship Id="rId239" Type="http://schemas.openxmlformats.org/officeDocument/2006/relationships/hyperlink" Target="https://www.youtube.com/watch?v=LwHvXJpMPvQ" TargetMode="External"/><Relationship Id="rId117" Type="http://schemas.openxmlformats.org/officeDocument/2006/relationships/hyperlink" Target="https://www.youtube.com/watch?v=Gcvvi-mFKRU" TargetMode="External"/><Relationship Id="rId238" Type="http://schemas.openxmlformats.org/officeDocument/2006/relationships/hyperlink" Target="https://www.youtube.com/watch?v=os5f0onC9i0" TargetMode="External"/><Relationship Id="rId116" Type="http://schemas.openxmlformats.org/officeDocument/2006/relationships/hyperlink" Target="https://www.youtube.com/watch?v=fRJJh3dbyVM" TargetMode="External"/><Relationship Id="rId237" Type="http://schemas.openxmlformats.org/officeDocument/2006/relationships/hyperlink" Target="https://www.youtube.com/watch?v=IYb_RhJkMgo" TargetMode="External"/><Relationship Id="rId115" Type="http://schemas.openxmlformats.org/officeDocument/2006/relationships/hyperlink" Target="https://www.youtube.com/watch?v=rtxnlRyvtbk" TargetMode="External"/><Relationship Id="rId236" Type="http://schemas.openxmlformats.org/officeDocument/2006/relationships/hyperlink" Target="https://www.youtube.com/watch?v=8j-OBlAaD9w" TargetMode="External"/><Relationship Id="rId119" Type="http://schemas.openxmlformats.org/officeDocument/2006/relationships/hyperlink" Target="https://www.youtube.com/watch?v=VPFeZuZ0q6Q" TargetMode="External"/><Relationship Id="rId110" Type="http://schemas.openxmlformats.org/officeDocument/2006/relationships/hyperlink" Target="https://www.youtube.com/watch?v=mCpskvKuhfo" TargetMode="External"/><Relationship Id="rId231" Type="http://schemas.openxmlformats.org/officeDocument/2006/relationships/hyperlink" Target="https://www.youtube.com/watch?v=Lo2Qd2_FA4Q" TargetMode="External"/><Relationship Id="rId230" Type="http://schemas.openxmlformats.org/officeDocument/2006/relationships/hyperlink" Target="https://www.youtube.com/watch?v=O99pHZGppSU" TargetMode="External"/><Relationship Id="rId114" Type="http://schemas.openxmlformats.org/officeDocument/2006/relationships/hyperlink" Target="https://www.youtube.com/watch?v=qw-aiwzneMQ" TargetMode="External"/><Relationship Id="rId235" Type="http://schemas.openxmlformats.org/officeDocument/2006/relationships/hyperlink" Target="https://www.youtube.com/watch?v=3RRIIjU9krI" TargetMode="External"/><Relationship Id="rId113" Type="http://schemas.openxmlformats.org/officeDocument/2006/relationships/hyperlink" Target="https://www.youtube.com/watch?v=j0SN_GXm4-c" TargetMode="External"/><Relationship Id="rId234" Type="http://schemas.openxmlformats.org/officeDocument/2006/relationships/hyperlink" Target="https://www.youtube.com/watch?v=LP0Tk7IQudQ" TargetMode="External"/><Relationship Id="rId112" Type="http://schemas.openxmlformats.org/officeDocument/2006/relationships/hyperlink" Target="https://www.youtube.com/watch?v=bwZExh14Msw" TargetMode="External"/><Relationship Id="rId233" Type="http://schemas.openxmlformats.org/officeDocument/2006/relationships/hyperlink" Target="https://www.youtube.com/watch?v=KAtJy8_sNdU" TargetMode="External"/><Relationship Id="rId111" Type="http://schemas.openxmlformats.org/officeDocument/2006/relationships/hyperlink" Target="https://www.youtube.com/watch?v=eK-7qdTyc_c" TargetMode="External"/><Relationship Id="rId232" Type="http://schemas.openxmlformats.org/officeDocument/2006/relationships/hyperlink" Target="https://www.youtube.com/watch?v=IGgNhJHK4iI" TargetMode="External"/><Relationship Id="rId206" Type="http://schemas.openxmlformats.org/officeDocument/2006/relationships/hyperlink" Target="https://www.youtube.com/watch?v=ecEfLPEwzo8" TargetMode="External"/><Relationship Id="rId205" Type="http://schemas.openxmlformats.org/officeDocument/2006/relationships/hyperlink" Target="https://www.youtube.com/watch?v=1tzrivR9sBs" TargetMode="External"/><Relationship Id="rId204" Type="http://schemas.openxmlformats.org/officeDocument/2006/relationships/hyperlink" Target="https://www.youtube.com/watch?v=iEWelOXmsPo" TargetMode="External"/><Relationship Id="rId203" Type="http://schemas.openxmlformats.org/officeDocument/2006/relationships/hyperlink" Target="https://www.youtube.com/watch?v=0dwmEiLoVb4" TargetMode="External"/><Relationship Id="rId209" Type="http://schemas.openxmlformats.org/officeDocument/2006/relationships/hyperlink" Target="https://www.youtube.com/watch?v=IlE09N-cRaA" TargetMode="External"/><Relationship Id="rId208" Type="http://schemas.openxmlformats.org/officeDocument/2006/relationships/hyperlink" Target="https://www.youtube.com/watch?v=U2-xH8OcJR8" TargetMode="External"/><Relationship Id="rId207" Type="http://schemas.openxmlformats.org/officeDocument/2006/relationships/hyperlink" Target="https://www.youtube.com/watch?v=wCAlhOtkJyQ" TargetMode="External"/><Relationship Id="rId202" Type="http://schemas.openxmlformats.org/officeDocument/2006/relationships/hyperlink" Target="https://www.youtube.com/watch?v=8oo8Wk9hr0k" TargetMode="External"/><Relationship Id="rId201" Type="http://schemas.openxmlformats.org/officeDocument/2006/relationships/hyperlink" Target="https://www.youtube.com/watch?v=9HFU-X74Ru4" TargetMode="External"/><Relationship Id="rId200" Type="http://schemas.openxmlformats.org/officeDocument/2006/relationships/hyperlink" Target="https://www.youtube.com/watch?v=bi-kXKmliEI" TargetMode="External"/></Relationships>
</file>

<file path=xl/worksheets/_rels/sheet4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youtube.com/watch?v=PXS04NFnrZA" TargetMode="External"/><Relationship Id="rId190" Type="http://schemas.openxmlformats.org/officeDocument/2006/relationships/hyperlink" Target="https://www.youtube.com/watch?v=gzhFtjDohOg" TargetMode="External"/><Relationship Id="rId42" Type="http://schemas.openxmlformats.org/officeDocument/2006/relationships/hyperlink" Target="https://www.youtube.com/watch?v=wDiiIAqhJUY" TargetMode="External"/><Relationship Id="rId41" Type="http://schemas.openxmlformats.org/officeDocument/2006/relationships/hyperlink" Target="https://www.youtube.com/watch?v=kTxcCsLgFtI" TargetMode="External"/><Relationship Id="rId44" Type="http://schemas.openxmlformats.org/officeDocument/2006/relationships/hyperlink" Target="https://www.youtube.com/watch?v=wHqk5glyogI" TargetMode="External"/><Relationship Id="rId194" Type="http://schemas.openxmlformats.org/officeDocument/2006/relationships/hyperlink" Target="https://www.youtube.com/watch?v=qyx97u8qwzc" TargetMode="External"/><Relationship Id="rId43" Type="http://schemas.openxmlformats.org/officeDocument/2006/relationships/hyperlink" Target="https://www.youtube.com/watch?v=XhpgiGB9pq0" TargetMode="External"/><Relationship Id="rId193" Type="http://schemas.openxmlformats.org/officeDocument/2006/relationships/hyperlink" Target="https://www.youtube.com/watch?v=i1mxMfzdmDw" TargetMode="External"/><Relationship Id="rId46" Type="http://schemas.openxmlformats.org/officeDocument/2006/relationships/hyperlink" Target="https://www.youtube.com/watch?v=drxXTXde_Tk" TargetMode="External"/><Relationship Id="rId192" Type="http://schemas.openxmlformats.org/officeDocument/2006/relationships/hyperlink" Target="https://www.youtube.com/watch?v=Nqn3kP5JjU4" TargetMode="External"/><Relationship Id="rId45" Type="http://schemas.openxmlformats.org/officeDocument/2006/relationships/hyperlink" Target="https://www.youtube.com/watch?v=Pgto9STcZD8" TargetMode="External"/><Relationship Id="rId191" Type="http://schemas.openxmlformats.org/officeDocument/2006/relationships/hyperlink" Target="https://www.youtube.com/watch?v=9xvTf9UiPwE" TargetMode="External"/><Relationship Id="rId48" Type="http://schemas.openxmlformats.org/officeDocument/2006/relationships/hyperlink" Target="https://www.youtube.com/watch?v=oe6TgS5r_rU" TargetMode="External"/><Relationship Id="rId187" Type="http://schemas.openxmlformats.org/officeDocument/2006/relationships/hyperlink" Target="https://www.youtube.com/watch?v=hcUSV3cKlq8" TargetMode="External"/><Relationship Id="rId47" Type="http://schemas.openxmlformats.org/officeDocument/2006/relationships/hyperlink" Target="https://www.youtube.com/watch?v=RT7o8AfWlC0" TargetMode="External"/><Relationship Id="rId186" Type="http://schemas.openxmlformats.org/officeDocument/2006/relationships/hyperlink" Target="https://www.youtube.com/watch?v=J4pK2RGoYzk" TargetMode="External"/><Relationship Id="rId185" Type="http://schemas.openxmlformats.org/officeDocument/2006/relationships/hyperlink" Target="https://www.youtube.com/watch?v=gBWKSm8GY_s" TargetMode="External"/><Relationship Id="rId49" Type="http://schemas.openxmlformats.org/officeDocument/2006/relationships/hyperlink" Target="https://www.youtube.com/watch?v=G4sd4xgZVF4" TargetMode="External"/><Relationship Id="rId184" Type="http://schemas.openxmlformats.org/officeDocument/2006/relationships/hyperlink" Target="https://www.youtube.com/watch?v=Hn32Q2SA5gc" TargetMode="External"/><Relationship Id="rId189" Type="http://schemas.openxmlformats.org/officeDocument/2006/relationships/hyperlink" Target="https://www.youtube.com/watch?v=2L0khoJuqk8" TargetMode="External"/><Relationship Id="rId188" Type="http://schemas.openxmlformats.org/officeDocument/2006/relationships/hyperlink" Target="https://www.youtube.com/watch?v=QvUM6t_MTAg" TargetMode="External"/><Relationship Id="rId31" Type="http://schemas.openxmlformats.org/officeDocument/2006/relationships/hyperlink" Target="https://www.youtube.com/watch?v=OBGjeepBSxA" TargetMode="External"/><Relationship Id="rId30" Type="http://schemas.openxmlformats.org/officeDocument/2006/relationships/hyperlink" Target="https://www.youtube.com/watch?v=spxpZ9FH4cw" TargetMode="External"/><Relationship Id="rId33" Type="http://schemas.openxmlformats.org/officeDocument/2006/relationships/hyperlink" Target="https://www.youtube.com/watch?v=pODjjIvfdhY" TargetMode="External"/><Relationship Id="rId183" Type="http://schemas.openxmlformats.org/officeDocument/2006/relationships/hyperlink" Target="https://www.youtube.com/watch?v=ihPPoRCds1M" TargetMode="External"/><Relationship Id="rId32" Type="http://schemas.openxmlformats.org/officeDocument/2006/relationships/hyperlink" Target="https://www.youtube.com/watch?v=xgBlontmB2g" TargetMode="External"/><Relationship Id="rId182" Type="http://schemas.openxmlformats.org/officeDocument/2006/relationships/hyperlink" Target="https://www.youtube.com/watch?v=OLRcort3nhw" TargetMode="External"/><Relationship Id="rId35" Type="http://schemas.openxmlformats.org/officeDocument/2006/relationships/hyperlink" Target="https://www.youtube.com/watch?v=b97o2-7B2AI" TargetMode="External"/><Relationship Id="rId181" Type="http://schemas.openxmlformats.org/officeDocument/2006/relationships/hyperlink" Target="https://www.youtube.com/watch?v=0qdFxz9cX-Y" TargetMode="External"/><Relationship Id="rId34" Type="http://schemas.openxmlformats.org/officeDocument/2006/relationships/hyperlink" Target="https://www.youtube.com/watch?v=yS3FGhxQvvQ" TargetMode="External"/><Relationship Id="rId180" Type="http://schemas.openxmlformats.org/officeDocument/2006/relationships/hyperlink" Target="https://www.youtube.com/watch?v=N3IEaj0GgOY" TargetMode="External"/><Relationship Id="rId37" Type="http://schemas.openxmlformats.org/officeDocument/2006/relationships/hyperlink" Target="https://www.youtube.com/watch?v=doRT-DqxNDI" TargetMode="External"/><Relationship Id="rId176" Type="http://schemas.openxmlformats.org/officeDocument/2006/relationships/hyperlink" Target="https://www.youtube.com/watch?v=FJT6ui22yOQ" TargetMode="External"/><Relationship Id="rId36" Type="http://schemas.openxmlformats.org/officeDocument/2006/relationships/hyperlink" Target="https://www.youtube.com/watch?v=5Rxgyk_GP3s" TargetMode="External"/><Relationship Id="rId175" Type="http://schemas.openxmlformats.org/officeDocument/2006/relationships/hyperlink" Target="https://www.youtube.com/watch?v=6bXA3IHoN-E" TargetMode="External"/><Relationship Id="rId39" Type="http://schemas.openxmlformats.org/officeDocument/2006/relationships/hyperlink" Target="https://www.youtube.com/watch?v=se0n3C5lqeY" TargetMode="External"/><Relationship Id="rId174" Type="http://schemas.openxmlformats.org/officeDocument/2006/relationships/hyperlink" Target="https://www.youtube.com/watch?v=_5uyw25oiTA" TargetMode="External"/><Relationship Id="rId38" Type="http://schemas.openxmlformats.org/officeDocument/2006/relationships/hyperlink" Target="https://www.youtube.com/watch?v=0YAp3ss4IJ8" TargetMode="External"/><Relationship Id="rId173" Type="http://schemas.openxmlformats.org/officeDocument/2006/relationships/hyperlink" Target="https://www.youtube.com/watch?v=rhTqxnZEhNY" TargetMode="External"/><Relationship Id="rId179" Type="http://schemas.openxmlformats.org/officeDocument/2006/relationships/hyperlink" Target="https://www.youtube.com/watch?v=759w4HcjjEY" TargetMode="External"/><Relationship Id="rId178" Type="http://schemas.openxmlformats.org/officeDocument/2006/relationships/hyperlink" Target="https://www.youtube.com/watch?v=yA4GFJeu6c0" TargetMode="External"/><Relationship Id="rId177" Type="http://schemas.openxmlformats.org/officeDocument/2006/relationships/hyperlink" Target="https://www.youtube.com/watch?v=wIzyXqsisb8" TargetMode="External"/><Relationship Id="rId20" Type="http://schemas.openxmlformats.org/officeDocument/2006/relationships/hyperlink" Target="https://www.youtube.com/watch?v=WIpPcb0aRpM" TargetMode="External"/><Relationship Id="rId22" Type="http://schemas.openxmlformats.org/officeDocument/2006/relationships/hyperlink" Target="https://www.youtube.com/watch?v=2ofeswZ3FcQ" TargetMode="External"/><Relationship Id="rId21" Type="http://schemas.openxmlformats.org/officeDocument/2006/relationships/hyperlink" Target="https://www.youtube.com/watch?v=4VAqw1giTcI" TargetMode="External"/><Relationship Id="rId24" Type="http://schemas.openxmlformats.org/officeDocument/2006/relationships/hyperlink" Target="https://www.youtube.com/watch?v=-IYIzZbGrpI" TargetMode="External"/><Relationship Id="rId23" Type="http://schemas.openxmlformats.org/officeDocument/2006/relationships/hyperlink" Target="https://www.youtube.com/watch?v=6Y8T-Q6H8ng" TargetMode="External"/><Relationship Id="rId26" Type="http://schemas.openxmlformats.org/officeDocument/2006/relationships/hyperlink" Target="https://www.youtube.com/watch?v=6nfBTXlMiM4" TargetMode="External"/><Relationship Id="rId25" Type="http://schemas.openxmlformats.org/officeDocument/2006/relationships/hyperlink" Target="https://www.youtube.com/watch?v=CtPa1knVRUU" TargetMode="External"/><Relationship Id="rId28" Type="http://schemas.openxmlformats.org/officeDocument/2006/relationships/hyperlink" Target="https://www.youtube.com/watch?v=c4IyPUhqqYQ" TargetMode="External"/><Relationship Id="rId27" Type="http://schemas.openxmlformats.org/officeDocument/2006/relationships/hyperlink" Target="https://www.youtube.com/watch?v=jYDkNIK4wYM" TargetMode="External"/><Relationship Id="rId29" Type="http://schemas.openxmlformats.org/officeDocument/2006/relationships/hyperlink" Target="https://www.youtube.com/watch?v=9xNs0byLL_Q" TargetMode="External"/><Relationship Id="rId11" Type="http://schemas.openxmlformats.org/officeDocument/2006/relationships/hyperlink" Target="https://www.youtube.com/watch?v=TTo419eyyhg" TargetMode="External"/><Relationship Id="rId10" Type="http://schemas.openxmlformats.org/officeDocument/2006/relationships/hyperlink" Target="https://www.youtube.com/watch?v=e3LtdTKQ-n0" TargetMode="External"/><Relationship Id="rId13" Type="http://schemas.openxmlformats.org/officeDocument/2006/relationships/hyperlink" Target="https://www.youtube.com/watch?v=sDyoj91otho" TargetMode="External"/><Relationship Id="rId12" Type="http://schemas.openxmlformats.org/officeDocument/2006/relationships/hyperlink" Target="https://www.youtube.com/watch?v=esoeik_zvQQ" TargetMode="External"/><Relationship Id="rId15" Type="http://schemas.openxmlformats.org/officeDocument/2006/relationships/hyperlink" Target="https://www.youtube.com/watch?v=MJv0MWL0kVg" TargetMode="External"/><Relationship Id="rId198" Type="http://schemas.openxmlformats.org/officeDocument/2006/relationships/hyperlink" Target="https://www.youtube.com/watch?v=_n9kD0d4I3k" TargetMode="External"/><Relationship Id="rId14" Type="http://schemas.openxmlformats.org/officeDocument/2006/relationships/hyperlink" Target="https://www.youtube.com/watch?v=laA3Rd8Jpw0" TargetMode="External"/><Relationship Id="rId197" Type="http://schemas.openxmlformats.org/officeDocument/2006/relationships/hyperlink" Target="https://www.youtube.com/watch?v=8K0Q0Ymm7BI" TargetMode="External"/><Relationship Id="rId17" Type="http://schemas.openxmlformats.org/officeDocument/2006/relationships/hyperlink" Target="https://www.youtube.com/watch?v=6piz_QnYjDQ" TargetMode="External"/><Relationship Id="rId196" Type="http://schemas.openxmlformats.org/officeDocument/2006/relationships/hyperlink" Target="https://www.youtube.com/watch?v=0ZoBOF_oUIc" TargetMode="External"/><Relationship Id="rId16" Type="http://schemas.openxmlformats.org/officeDocument/2006/relationships/hyperlink" Target="https://www.youtube.com/watch?v=7CdGzw6BJ0M" TargetMode="External"/><Relationship Id="rId195" Type="http://schemas.openxmlformats.org/officeDocument/2006/relationships/hyperlink" Target="https://www.youtube.com/watch?v=831JhgKXNSA" TargetMode="External"/><Relationship Id="rId19" Type="http://schemas.openxmlformats.org/officeDocument/2006/relationships/hyperlink" Target="https://www.youtube.com/watch?v=gSmt0EZEC4E" TargetMode="External"/><Relationship Id="rId18" Type="http://schemas.openxmlformats.org/officeDocument/2006/relationships/hyperlink" Target="https://www.youtube.com/watch?v=IhKGRrez9bQ" TargetMode="External"/><Relationship Id="rId199" Type="http://schemas.openxmlformats.org/officeDocument/2006/relationships/hyperlink" Target="https://www.youtube.com/watch?v=5eBWDMrRwXg" TargetMode="External"/><Relationship Id="rId84" Type="http://schemas.openxmlformats.org/officeDocument/2006/relationships/hyperlink" Target="https://www.youtube.com/watch?v=u-D6VngwVeI" TargetMode="External"/><Relationship Id="rId83" Type="http://schemas.openxmlformats.org/officeDocument/2006/relationships/hyperlink" Target="https://www.youtube.com/watch?v=NOCbioPS_98" TargetMode="External"/><Relationship Id="rId86" Type="http://schemas.openxmlformats.org/officeDocument/2006/relationships/hyperlink" Target="https://www.youtube.com/watch?v=teg3kpdnPeM" TargetMode="External"/><Relationship Id="rId85" Type="http://schemas.openxmlformats.org/officeDocument/2006/relationships/hyperlink" Target="https://www.youtube.com/watch?v=BJVQ90nirvo" TargetMode="External"/><Relationship Id="rId88" Type="http://schemas.openxmlformats.org/officeDocument/2006/relationships/hyperlink" Target="https://www.youtube.com/watch?v=z7JIga9NhwQ" TargetMode="External"/><Relationship Id="rId150" Type="http://schemas.openxmlformats.org/officeDocument/2006/relationships/hyperlink" Target="https://www.youtube.com/watch?v=xPsP5jtNj18" TargetMode="External"/><Relationship Id="rId87" Type="http://schemas.openxmlformats.org/officeDocument/2006/relationships/hyperlink" Target="https://www.youtube.com/watch?v=tcLLW-Q0OHI" TargetMode="External"/><Relationship Id="rId89" Type="http://schemas.openxmlformats.org/officeDocument/2006/relationships/hyperlink" Target="https://www.youtube.com/watch?v=QO6WSgCyHL8" TargetMode="External"/><Relationship Id="rId80" Type="http://schemas.openxmlformats.org/officeDocument/2006/relationships/hyperlink" Target="https://www.youtube.com/watch?v=zoNiCgtpzL4" TargetMode="External"/><Relationship Id="rId82" Type="http://schemas.openxmlformats.org/officeDocument/2006/relationships/hyperlink" Target="https://www.youtube.com/watch?v=KH5C-ARLs9A" TargetMode="External"/><Relationship Id="rId81" Type="http://schemas.openxmlformats.org/officeDocument/2006/relationships/hyperlink" Target="https://www.youtube.com/watch?v=NduuJSpNbc4" TargetMode="External"/><Relationship Id="rId1" Type="http://schemas.openxmlformats.org/officeDocument/2006/relationships/hyperlink" Target="https://www.youtube.com/watch?v=8tsdwKJnvZw" TargetMode="External"/><Relationship Id="rId2" Type="http://schemas.openxmlformats.org/officeDocument/2006/relationships/hyperlink" Target="https://www.youtube.com/watch?v=k2Py5kGSb2w" TargetMode="External"/><Relationship Id="rId3" Type="http://schemas.openxmlformats.org/officeDocument/2006/relationships/hyperlink" Target="https://www.youtube.com/watch?v=IRHK30gB2jo" TargetMode="External"/><Relationship Id="rId149" Type="http://schemas.openxmlformats.org/officeDocument/2006/relationships/hyperlink" Target="https://www.youtube.com/watch?v=qANLFfVrn5A" TargetMode="External"/><Relationship Id="rId4" Type="http://schemas.openxmlformats.org/officeDocument/2006/relationships/hyperlink" Target="https://www.youtube.com/watch?v=6Y6jlHpO5iM" TargetMode="External"/><Relationship Id="rId148" Type="http://schemas.openxmlformats.org/officeDocument/2006/relationships/hyperlink" Target="https://www.youtube.com/watch?v=nLpBNixxEuE" TargetMode="External"/><Relationship Id="rId9" Type="http://schemas.openxmlformats.org/officeDocument/2006/relationships/hyperlink" Target="https://www.youtube.com/watch?v=jemnyGdyolo" TargetMode="External"/><Relationship Id="rId143" Type="http://schemas.openxmlformats.org/officeDocument/2006/relationships/hyperlink" Target="https://www.youtube.com/watch?v=De7by6PTX7E" TargetMode="External"/><Relationship Id="rId142" Type="http://schemas.openxmlformats.org/officeDocument/2006/relationships/hyperlink" Target="https://www.youtube.com/watch?v=oRuEozCzaYw" TargetMode="External"/><Relationship Id="rId141" Type="http://schemas.openxmlformats.org/officeDocument/2006/relationships/hyperlink" Target="https://www.youtube.com/watch?v=ossVHbhWCLg" TargetMode="External"/><Relationship Id="rId140" Type="http://schemas.openxmlformats.org/officeDocument/2006/relationships/hyperlink" Target="https://www.youtube.com/watch?v=w5702SGTS38" TargetMode="External"/><Relationship Id="rId5" Type="http://schemas.openxmlformats.org/officeDocument/2006/relationships/hyperlink" Target="https://www.youtube.com/watch?v=CQmkYZluELY" TargetMode="External"/><Relationship Id="rId147" Type="http://schemas.openxmlformats.org/officeDocument/2006/relationships/hyperlink" Target="https://www.youtube.com/watch?v=7IUbhXvjw0I" TargetMode="External"/><Relationship Id="rId6" Type="http://schemas.openxmlformats.org/officeDocument/2006/relationships/hyperlink" Target="https://www.youtube.com/watch?v=IXcnq_BUicc" TargetMode="External"/><Relationship Id="rId146" Type="http://schemas.openxmlformats.org/officeDocument/2006/relationships/hyperlink" Target="https://www.youtube.com/watch?v=zwCnJAzvVeg" TargetMode="External"/><Relationship Id="rId7" Type="http://schemas.openxmlformats.org/officeDocument/2006/relationships/hyperlink" Target="https://www.youtube.com/watch?v=DUNWVYCr20Y" TargetMode="External"/><Relationship Id="rId145" Type="http://schemas.openxmlformats.org/officeDocument/2006/relationships/hyperlink" Target="https://www.youtube.com/watch?v=pUhki0vza28" TargetMode="External"/><Relationship Id="rId8" Type="http://schemas.openxmlformats.org/officeDocument/2006/relationships/hyperlink" Target="https://www.youtube.com/watch?v=dnShTO7iB4A" TargetMode="External"/><Relationship Id="rId144" Type="http://schemas.openxmlformats.org/officeDocument/2006/relationships/hyperlink" Target="https://www.youtube.com/watch?v=ilFnwkxuuWo" TargetMode="External"/><Relationship Id="rId73" Type="http://schemas.openxmlformats.org/officeDocument/2006/relationships/hyperlink" Target="https://www.youtube.com/watch?v=HZ10peCli3c" TargetMode="External"/><Relationship Id="rId72" Type="http://schemas.openxmlformats.org/officeDocument/2006/relationships/hyperlink" Target="https://www.youtube.com/watch?v=VJY5S0O_jxc" TargetMode="External"/><Relationship Id="rId75" Type="http://schemas.openxmlformats.org/officeDocument/2006/relationships/hyperlink" Target="https://www.youtube.com/watch?v=btZJP9oIBgs" TargetMode="External"/><Relationship Id="rId74" Type="http://schemas.openxmlformats.org/officeDocument/2006/relationships/hyperlink" Target="https://www.youtube.com/watch?v=RwnmqzwRD_M" TargetMode="External"/><Relationship Id="rId77" Type="http://schemas.openxmlformats.org/officeDocument/2006/relationships/hyperlink" Target="https://www.youtube.com/watch?v=nLmWdUW9Yn4" TargetMode="External"/><Relationship Id="rId76" Type="http://schemas.openxmlformats.org/officeDocument/2006/relationships/hyperlink" Target="https://www.youtube.com/watch?v=4xmwz_fEUpM" TargetMode="External"/><Relationship Id="rId79" Type="http://schemas.openxmlformats.org/officeDocument/2006/relationships/hyperlink" Target="https://www.youtube.com/watch?v=ulltqtb0j34" TargetMode="External"/><Relationship Id="rId78" Type="http://schemas.openxmlformats.org/officeDocument/2006/relationships/hyperlink" Target="https://www.youtube.com/watch?v=1WMCX1AEuq4" TargetMode="External"/><Relationship Id="rId71" Type="http://schemas.openxmlformats.org/officeDocument/2006/relationships/hyperlink" Target="https://www.youtube.com/watch?v=zDx4b6joVdw" TargetMode="External"/><Relationship Id="rId70" Type="http://schemas.openxmlformats.org/officeDocument/2006/relationships/hyperlink" Target="https://www.youtube.com/watch?v=u9TWzxb3_B0" TargetMode="External"/><Relationship Id="rId139" Type="http://schemas.openxmlformats.org/officeDocument/2006/relationships/hyperlink" Target="https://www.youtube.com/watch?v=zHvfU2AcitI" TargetMode="External"/><Relationship Id="rId138" Type="http://schemas.openxmlformats.org/officeDocument/2006/relationships/hyperlink" Target="https://www.youtube.com/watch?v=6lIqGDAB89U" TargetMode="External"/><Relationship Id="rId137" Type="http://schemas.openxmlformats.org/officeDocument/2006/relationships/hyperlink" Target="https://www.youtube.com/watch?v=wO4rxlyS_JU" TargetMode="External"/><Relationship Id="rId132" Type="http://schemas.openxmlformats.org/officeDocument/2006/relationships/hyperlink" Target="https://www.youtube.com/watch?v=xZ18ORJO2ns" TargetMode="External"/><Relationship Id="rId131" Type="http://schemas.openxmlformats.org/officeDocument/2006/relationships/hyperlink" Target="https://www.youtube.com/watch?v=FzEW_1CDdn4" TargetMode="External"/><Relationship Id="rId130" Type="http://schemas.openxmlformats.org/officeDocument/2006/relationships/hyperlink" Target="https://www.youtube.com/watch?v=WcoCxGLHj1o" TargetMode="External"/><Relationship Id="rId136" Type="http://schemas.openxmlformats.org/officeDocument/2006/relationships/hyperlink" Target="https://www.youtube.com/watch?v=kHZhhRHhpZc" TargetMode="External"/><Relationship Id="rId135" Type="http://schemas.openxmlformats.org/officeDocument/2006/relationships/hyperlink" Target="https://www.youtube.com/watch?v=GDGd1OE8G-4" TargetMode="External"/><Relationship Id="rId134" Type="http://schemas.openxmlformats.org/officeDocument/2006/relationships/hyperlink" Target="https://www.youtube.com/watch?v=G9-114pEqc4" TargetMode="External"/><Relationship Id="rId133" Type="http://schemas.openxmlformats.org/officeDocument/2006/relationships/hyperlink" Target="https://www.youtube.com/watch?v=s7yhH98i-iU" TargetMode="External"/><Relationship Id="rId62" Type="http://schemas.openxmlformats.org/officeDocument/2006/relationships/hyperlink" Target="https://www.youtube.com/watch?v=tmJDWRMZia0" TargetMode="External"/><Relationship Id="rId61" Type="http://schemas.openxmlformats.org/officeDocument/2006/relationships/hyperlink" Target="https://www.youtube.com/watch?v=F_pU7mXlfCM" TargetMode="External"/><Relationship Id="rId64" Type="http://schemas.openxmlformats.org/officeDocument/2006/relationships/hyperlink" Target="https://www.youtube.com/watch?v=BWI3k3_boxg" TargetMode="External"/><Relationship Id="rId63" Type="http://schemas.openxmlformats.org/officeDocument/2006/relationships/hyperlink" Target="https://www.youtube.com/watch?v=PDvzyHq9ke8" TargetMode="External"/><Relationship Id="rId66" Type="http://schemas.openxmlformats.org/officeDocument/2006/relationships/hyperlink" Target="https://www.youtube.com/watch?v=m5NAGjzlBvI" TargetMode="External"/><Relationship Id="rId172" Type="http://schemas.openxmlformats.org/officeDocument/2006/relationships/hyperlink" Target="https://www.youtube.com/watch?v=1DRCvJNeY5k" TargetMode="External"/><Relationship Id="rId65" Type="http://schemas.openxmlformats.org/officeDocument/2006/relationships/hyperlink" Target="https://www.youtube.com/watch?v=pu4ZLnSxad8" TargetMode="External"/><Relationship Id="rId171" Type="http://schemas.openxmlformats.org/officeDocument/2006/relationships/hyperlink" Target="https://www.youtube.com/watch?v=rNS997LwV_g" TargetMode="External"/><Relationship Id="rId68" Type="http://schemas.openxmlformats.org/officeDocument/2006/relationships/hyperlink" Target="https://www.youtube.com/watch?v=R_DRKeL2rJw" TargetMode="External"/><Relationship Id="rId170" Type="http://schemas.openxmlformats.org/officeDocument/2006/relationships/hyperlink" Target="https://www.youtube.com/watch?v=xEEQz7JNkZs" TargetMode="External"/><Relationship Id="rId67" Type="http://schemas.openxmlformats.org/officeDocument/2006/relationships/hyperlink" Target="https://www.youtube.com/watch?v=vT4Mso-jl8g" TargetMode="External"/><Relationship Id="rId60" Type="http://schemas.openxmlformats.org/officeDocument/2006/relationships/hyperlink" Target="https://www.youtube.com/watch?v=ibLjh9flH7M" TargetMode="External"/><Relationship Id="rId165" Type="http://schemas.openxmlformats.org/officeDocument/2006/relationships/hyperlink" Target="https://www.youtube.com/watch?v=EViDmSnyJ1w" TargetMode="External"/><Relationship Id="rId69" Type="http://schemas.openxmlformats.org/officeDocument/2006/relationships/hyperlink" Target="https://www.youtube.com/watch?v=D48ZTWw2ox4" TargetMode="External"/><Relationship Id="rId164" Type="http://schemas.openxmlformats.org/officeDocument/2006/relationships/hyperlink" Target="https://www.youtube.com/watch?v=mAJifroY9JI" TargetMode="External"/><Relationship Id="rId163" Type="http://schemas.openxmlformats.org/officeDocument/2006/relationships/hyperlink" Target="https://www.youtube.com/watch?v=R-QXkxHADZo" TargetMode="External"/><Relationship Id="rId162" Type="http://schemas.openxmlformats.org/officeDocument/2006/relationships/hyperlink" Target="https://www.youtube.com/watch?v=PCkvL8kgU-Y" TargetMode="External"/><Relationship Id="rId169" Type="http://schemas.openxmlformats.org/officeDocument/2006/relationships/hyperlink" Target="https://www.youtube.com/watch?v=P_jiROMKusA" TargetMode="External"/><Relationship Id="rId168" Type="http://schemas.openxmlformats.org/officeDocument/2006/relationships/hyperlink" Target="https://www.youtube.com/watch?v=lzoEfno_hxE" TargetMode="External"/><Relationship Id="rId167" Type="http://schemas.openxmlformats.org/officeDocument/2006/relationships/hyperlink" Target="https://www.youtube.com/watch?v=OHWWMjdO0Hc" TargetMode="External"/><Relationship Id="rId166" Type="http://schemas.openxmlformats.org/officeDocument/2006/relationships/hyperlink" Target="https://www.youtube.com/watch?v=jaIhYZK4snc" TargetMode="External"/><Relationship Id="rId51" Type="http://schemas.openxmlformats.org/officeDocument/2006/relationships/hyperlink" Target="https://www.youtube.com/watch?v=xWTeUmUpKXE" TargetMode="External"/><Relationship Id="rId50" Type="http://schemas.openxmlformats.org/officeDocument/2006/relationships/hyperlink" Target="https://www.youtube.com/watch?v=z7UsBsgB488" TargetMode="External"/><Relationship Id="rId53" Type="http://schemas.openxmlformats.org/officeDocument/2006/relationships/hyperlink" Target="https://www.youtube.com/watch?v=FDG8iy0r0ak" TargetMode="External"/><Relationship Id="rId52" Type="http://schemas.openxmlformats.org/officeDocument/2006/relationships/hyperlink" Target="https://www.youtube.com/watch?v=xcDKh-z4ofc" TargetMode="External"/><Relationship Id="rId55" Type="http://schemas.openxmlformats.org/officeDocument/2006/relationships/hyperlink" Target="https://www.youtube.com/watch?v=Pyvr0rzMdWQ" TargetMode="External"/><Relationship Id="rId161" Type="http://schemas.openxmlformats.org/officeDocument/2006/relationships/hyperlink" Target="https://www.youtube.com/watch?v=pq4HXvMaCOA" TargetMode="External"/><Relationship Id="rId54" Type="http://schemas.openxmlformats.org/officeDocument/2006/relationships/hyperlink" Target="https://www.youtube.com/watch?v=OOaFTjaNlW8" TargetMode="External"/><Relationship Id="rId160" Type="http://schemas.openxmlformats.org/officeDocument/2006/relationships/hyperlink" Target="https://www.youtube.com/watch?v=oc3qKrFNf5k" TargetMode="External"/><Relationship Id="rId57" Type="http://schemas.openxmlformats.org/officeDocument/2006/relationships/hyperlink" Target="https://www.youtube.com/watch?v=YBKY2I6xmZ0" TargetMode="External"/><Relationship Id="rId56" Type="http://schemas.openxmlformats.org/officeDocument/2006/relationships/hyperlink" Target="https://www.youtube.com/watch?v=PhievG_lGrs" TargetMode="External"/><Relationship Id="rId159" Type="http://schemas.openxmlformats.org/officeDocument/2006/relationships/hyperlink" Target="https://www.youtube.com/watch?v=tMyOGzHGB08" TargetMode="External"/><Relationship Id="rId59" Type="http://schemas.openxmlformats.org/officeDocument/2006/relationships/hyperlink" Target="https://www.youtube.com/watch?v=IJrya39bvBU" TargetMode="External"/><Relationship Id="rId154" Type="http://schemas.openxmlformats.org/officeDocument/2006/relationships/hyperlink" Target="https://www.youtube.com/watch?v=vho25O5Kb78" TargetMode="External"/><Relationship Id="rId58" Type="http://schemas.openxmlformats.org/officeDocument/2006/relationships/hyperlink" Target="https://www.youtube.com/watch?v=2QazaRdb4XY" TargetMode="External"/><Relationship Id="rId153" Type="http://schemas.openxmlformats.org/officeDocument/2006/relationships/hyperlink" Target="https://www.youtube.com/watch?v=1YJ_tWXUbL0" TargetMode="External"/><Relationship Id="rId152" Type="http://schemas.openxmlformats.org/officeDocument/2006/relationships/hyperlink" Target="https://www.youtube.com/watch?v=V61_Qzi-2qw" TargetMode="External"/><Relationship Id="rId151" Type="http://schemas.openxmlformats.org/officeDocument/2006/relationships/hyperlink" Target="https://www.youtube.com/watch?v=NJvKyBJHf3k" TargetMode="External"/><Relationship Id="rId158" Type="http://schemas.openxmlformats.org/officeDocument/2006/relationships/hyperlink" Target="https://www.youtube.com/watch?v=ICEqkXraanU" TargetMode="External"/><Relationship Id="rId157" Type="http://schemas.openxmlformats.org/officeDocument/2006/relationships/hyperlink" Target="https://www.youtube.com/watch?v=dO4gUK2oa1E" TargetMode="External"/><Relationship Id="rId156" Type="http://schemas.openxmlformats.org/officeDocument/2006/relationships/hyperlink" Target="https://www.youtube.com/watch?v=ct0SbZZfxw8" TargetMode="External"/><Relationship Id="rId155" Type="http://schemas.openxmlformats.org/officeDocument/2006/relationships/hyperlink" Target="https://www.youtube.com/watch?v=wY7NEbAsrq8" TargetMode="External"/><Relationship Id="rId107" Type="http://schemas.openxmlformats.org/officeDocument/2006/relationships/hyperlink" Target="https://www.youtube.com/watch?v=nLF8Dx_JQyU" TargetMode="External"/><Relationship Id="rId228" Type="http://schemas.openxmlformats.org/officeDocument/2006/relationships/hyperlink" Target="https://www.youtube.com/watch?v=jgr_Z-bjyOI" TargetMode="External"/><Relationship Id="rId106" Type="http://schemas.openxmlformats.org/officeDocument/2006/relationships/hyperlink" Target="https://www.youtube.com/watch?v=dQTl08wIIPc" TargetMode="External"/><Relationship Id="rId227" Type="http://schemas.openxmlformats.org/officeDocument/2006/relationships/hyperlink" Target="https://www.youtube.com/watch?v=cd2YRvxMmSY" TargetMode="External"/><Relationship Id="rId105" Type="http://schemas.openxmlformats.org/officeDocument/2006/relationships/hyperlink" Target="https://www.youtube.com/watch?v=7AWIEJQYWXE" TargetMode="External"/><Relationship Id="rId226" Type="http://schemas.openxmlformats.org/officeDocument/2006/relationships/hyperlink" Target="https://www.youtube.com/watch?v=azugOoboN0s" TargetMode="External"/><Relationship Id="rId104" Type="http://schemas.openxmlformats.org/officeDocument/2006/relationships/hyperlink" Target="https://www.youtube.com/watch?v=W6MPDPbzyko" TargetMode="External"/><Relationship Id="rId225" Type="http://schemas.openxmlformats.org/officeDocument/2006/relationships/hyperlink" Target="https://www.youtube.com/watch?v=Q-Af9a8GGlY" TargetMode="External"/><Relationship Id="rId109" Type="http://schemas.openxmlformats.org/officeDocument/2006/relationships/hyperlink" Target="https://www.youtube.com/watch?v=9Leo53cHvns" TargetMode="External"/><Relationship Id="rId108" Type="http://schemas.openxmlformats.org/officeDocument/2006/relationships/hyperlink" Target="https://www.youtube.com/watch?v=dcBnxNbknY0" TargetMode="External"/><Relationship Id="rId229" Type="http://schemas.openxmlformats.org/officeDocument/2006/relationships/hyperlink" Target="https://www.youtube.com/watch?v=Gq1DZIRvfJs" TargetMode="External"/><Relationship Id="rId220" Type="http://schemas.openxmlformats.org/officeDocument/2006/relationships/hyperlink" Target="https://www.youtube.com/watch?v=P4wcYPw9kWI" TargetMode="External"/><Relationship Id="rId103" Type="http://schemas.openxmlformats.org/officeDocument/2006/relationships/hyperlink" Target="https://www.youtube.com/watch?v=DKW7uMq8GHs" TargetMode="External"/><Relationship Id="rId224" Type="http://schemas.openxmlformats.org/officeDocument/2006/relationships/hyperlink" Target="https://www.youtube.com/watch?v=_3f0zhts2rA" TargetMode="External"/><Relationship Id="rId102" Type="http://schemas.openxmlformats.org/officeDocument/2006/relationships/hyperlink" Target="https://www.youtube.com/watch?v=MPWAwwSmZ-c" TargetMode="External"/><Relationship Id="rId223" Type="http://schemas.openxmlformats.org/officeDocument/2006/relationships/hyperlink" Target="https://www.youtube.com/watch?v=jU_6p0Q-LxU" TargetMode="External"/><Relationship Id="rId101" Type="http://schemas.openxmlformats.org/officeDocument/2006/relationships/hyperlink" Target="https://www.youtube.com/watch?v=uL6OdBGBBQg" TargetMode="External"/><Relationship Id="rId222" Type="http://schemas.openxmlformats.org/officeDocument/2006/relationships/hyperlink" Target="https://www.youtube.com/watch?v=kDvWYlah-Cw" TargetMode="External"/><Relationship Id="rId100" Type="http://schemas.openxmlformats.org/officeDocument/2006/relationships/hyperlink" Target="https://www.youtube.com/watch?v=2oiMPBvwZGo" TargetMode="External"/><Relationship Id="rId221" Type="http://schemas.openxmlformats.org/officeDocument/2006/relationships/hyperlink" Target="https://www.youtube.com/watch?v=BAUwU1Kd0xU" TargetMode="External"/><Relationship Id="rId217" Type="http://schemas.openxmlformats.org/officeDocument/2006/relationships/hyperlink" Target="https://www.youtube.com/watch?v=_fVWX8IpX3A" TargetMode="External"/><Relationship Id="rId216" Type="http://schemas.openxmlformats.org/officeDocument/2006/relationships/hyperlink" Target="https://www.youtube.com/watch?v=Obf95U40XYQ" TargetMode="External"/><Relationship Id="rId215" Type="http://schemas.openxmlformats.org/officeDocument/2006/relationships/hyperlink" Target="https://www.youtube.com/watch?v=fNWfoZ3v_F8" TargetMode="External"/><Relationship Id="rId214" Type="http://schemas.openxmlformats.org/officeDocument/2006/relationships/hyperlink" Target="https://www.youtube.com/watch?v=LBqHelcMiqI" TargetMode="External"/><Relationship Id="rId219" Type="http://schemas.openxmlformats.org/officeDocument/2006/relationships/hyperlink" Target="https://www.youtube.com/watch?v=a0vvVd14ybM" TargetMode="External"/><Relationship Id="rId218" Type="http://schemas.openxmlformats.org/officeDocument/2006/relationships/hyperlink" Target="https://www.youtube.com/watch?v=f0b4RH_wesM" TargetMode="External"/><Relationship Id="rId213" Type="http://schemas.openxmlformats.org/officeDocument/2006/relationships/hyperlink" Target="https://www.youtube.com/watch?v=VlnGBENHEZQ" TargetMode="External"/><Relationship Id="rId212" Type="http://schemas.openxmlformats.org/officeDocument/2006/relationships/hyperlink" Target="https://www.youtube.com/watch?v=FRksAjZ7GzY" TargetMode="External"/><Relationship Id="rId211" Type="http://schemas.openxmlformats.org/officeDocument/2006/relationships/hyperlink" Target="https://www.youtube.com/watch?v=FMC-GKvqoB4" TargetMode="External"/><Relationship Id="rId210" Type="http://schemas.openxmlformats.org/officeDocument/2006/relationships/hyperlink" Target="https://www.youtube.com/watch?v=tER4ptk9Doo" TargetMode="External"/><Relationship Id="rId129" Type="http://schemas.openxmlformats.org/officeDocument/2006/relationships/hyperlink" Target="https://www.youtube.com/watch?v=0SBALnw8ZxE" TargetMode="External"/><Relationship Id="rId128" Type="http://schemas.openxmlformats.org/officeDocument/2006/relationships/hyperlink" Target="https://www.youtube.com/watch?v=hJN530tPwEE" TargetMode="External"/><Relationship Id="rId127" Type="http://schemas.openxmlformats.org/officeDocument/2006/relationships/hyperlink" Target="https://www.youtube.com/watch?v=tDC_Z751gBc" TargetMode="External"/><Relationship Id="rId126" Type="http://schemas.openxmlformats.org/officeDocument/2006/relationships/hyperlink" Target="https://www.youtube.com/watch?v=CAkUkiiaO7Y" TargetMode="External"/><Relationship Id="rId121" Type="http://schemas.openxmlformats.org/officeDocument/2006/relationships/hyperlink" Target="https://www.youtube.com/watch?v=CWiu9LpH_4A" TargetMode="External"/><Relationship Id="rId120" Type="http://schemas.openxmlformats.org/officeDocument/2006/relationships/hyperlink" Target="https://www.youtube.com/watch?v=gfCFfjlPXa4" TargetMode="External"/><Relationship Id="rId241" Type="http://schemas.openxmlformats.org/officeDocument/2006/relationships/drawing" Target="../drawings/drawing4.xml"/><Relationship Id="rId240" Type="http://schemas.openxmlformats.org/officeDocument/2006/relationships/hyperlink" Target="https://www.youtube.com/watch?v=8NSjbHXKNBo" TargetMode="External"/><Relationship Id="rId125" Type="http://schemas.openxmlformats.org/officeDocument/2006/relationships/hyperlink" Target="https://www.youtube.com/watch?v=S-UsEfLdwKk" TargetMode="External"/><Relationship Id="rId124" Type="http://schemas.openxmlformats.org/officeDocument/2006/relationships/hyperlink" Target="https://www.youtube.com/watch?v=mF8iMw9QsJQ" TargetMode="External"/><Relationship Id="rId123" Type="http://schemas.openxmlformats.org/officeDocument/2006/relationships/hyperlink" Target="https://www.youtube.com/watch?v=-reWc_DnV2Y" TargetMode="External"/><Relationship Id="rId122" Type="http://schemas.openxmlformats.org/officeDocument/2006/relationships/hyperlink" Target="https://www.youtube.com/watch?v=eCjujtMyjtM" TargetMode="External"/><Relationship Id="rId95" Type="http://schemas.openxmlformats.org/officeDocument/2006/relationships/hyperlink" Target="https://www.youtube.com/watch?v=vRJ6k0yPtbc" TargetMode="External"/><Relationship Id="rId94" Type="http://schemas.openxmlformats.org/officeDocument/2006/relationships/hyperlink" Target="https://www.youtube.com/watch?v=Ingwy6-ovwk" TargetMode="External"/><Relationship Id="rId97" Type="http://schemas.openxmlformats.org/officeDocument/2006/relationships/hyperlink" Target="https://www.youtube.com/watch?v=T8whfhwl-qA" TargetMode="External"/><Relationship Id="rId96" Type="http://schemas.openxmlformats.org/officeDocument/2006/relationships/hyperlink" Target="https://www.youtube.com/watch?v=4tKntUyud-M" TargetMode="External"/><Relationship Id="rId99" Type="http://schemas.openxmlformats.org/officeDocument/2006/relationships/hyperlink" Target="https://www.youtube.com/watch?v=UiamT12iNgI" TargetMode="External"/><Relationship Id="rId98" Type="http://schemas.openxmlformats.org/officeDocument/2006/relationships/hyperlink" Target="https://www.youtube.com/watch?v=WQpU4yt2cT0" TargetMode="External"/><Relationship Id="rId91" Type="http://schemas.openxmlformats.org/officeDocument/2006/relationships/hyperlink" Target="https://www.youtube.com/watch?v=UiyWnRZDd_M" TargetMode="External"/><Relationship Id="rId90" Type="http://schemas.openxmlformats.org/officeDocument/2006/relationships/hyperlink" Target="https://www.youtube.com/watch?v=ED0pV-JfVNM" TargetMode="External"/><Relationship Id="rId93" Type="http://schemas.openxmlformats.org/officeDocument/2006/relationships/hyperlink" Target="https://www.youtube.com/watch?v=Tk-dZrgywg0" TargetMode="External"/><Relationship Id="rId92" Type="http://schemas.openxmlformats.org/officeDocument/2006/relationships/hyperlink" Target="https://www.youtube.com/watch?v=i57Zesf18vY" TargetMode="External"/><Relationship Id="rId118" Type="http://schemas.openxmlformats.org/officeDocument/2006/relationships/hyperlink" Target="https://www.youtube.com/watch?v=kUXxbLD12bQ" TargetMode="External"/><Relationship Id="rId239" Type="http://schemas.openxmlformats.org/officeDocument/2006/relationships/hyperlink" Target="https://www.youtube.com/watch?v=MIM5-Smcwzs" TargetMode="External"/><Relationship Id="rId117" Type="http://schemas.openxmlformats.org/officeDocument/2006/relationships/hyperlink" Target="https://www.youtube.com/watch?v=qiPmcNPU9Kk" TargetMode="External"/><Relationship Id="rId238" Type="http://schemas.openxmlformats.org/officeDocument/2006/relationships/hyperlink" Target="https://www.youtube.com/watch?v=fTCgxKFxtmc" TargetMode="External"/><Relationship Id="rId116" Type="http://schemas.openxmlformats.org/officeDocument/2006/relationships/hyperlink" Target="https://www.youtube.com/watch?v=bYBWhXm6CY4" TargetMode="External"/><Relationship Id="rId237" Type="http://schemas.openxmlformats.org/officeDocument/2006/relationships/hyperlink" Target="https://www.youtube.com/watch?v=xvAyJYOCPu8" TargetMode="External"/><Relationship Id="rId115" Type="http://schemas.openxmlformats.org/officeDocument/2006/relationships/hyperlink" Target="https://www.youtube.com/watch?v=JSohiMX4uiY" TargetMode="External"/><Relationship Id="rId236" Type="http://schemas.openxmlformats.org/officeDocument/2006/relationships/hyperlink" Target="https://www.youtube.com/watch?v=IRbca9eAq1Q" TargetMode="External"/><Relationship Id="rId119" Type="http://schemas.openxmlformats.org/officeDocument/2006/relationships/hyperlink" Target="https://www.youtube.com/watch?v=A4j3ADvodGU" TargetMode="External"/><Relationship Id="rId110" Type="http://schemas.openxmlformats.org/officeDocument/2006/relationships/hyperlink" Target="https://www.youtube.com/watch?v=SNnPPL_Obno" TargetMode="External"/><Relationship Id="rId231" Type="http://schemas.openxmlformats.org/officeDocument/2006/relationships/hyperlink" Target="https://www.youtube.com/watch?v=8TLY7jFeX-Y" TargetMode="External"/><Relationship Id="rId230" Type="http://schemas.openxmlformats.org/officeDocument/2006/relationships/hyperlink" Target="https://www.youtube.com/watch?v=4FgVYS00RrI" TargetMode="External"/><Relationship Id="rId114" Type="http://schemas.openxmlformats.org/officeDocument/2006/relationships/hyperlink" Target="https://www.youtube.com/watch?v=5eBUeY_FnCg" TargetMode="External"/><Relationship Id="rId235" Type="http://schemas.openxmlformats.org/officeDocument/2006/relationships/hyperlink" Target="https://www.youtube.com/watch?v=AS4zTgvTi4g" TargetMode="External"/><Relationship Id="rId113" Type="http://schemas.openxmlformats.org/officeDocument/2006/relationships/hyperlink" Target="https://www.youtube.com/watch?v=cBoNEtnFPIw" TargetMode="External"/><Relationship Id="rId234" Type="http://schemas.openxmlformats.org/officeDocument/2006/relationships/hyperlink" Target="https://www.youtube.com/watch?v=05pnEmK33vg" TargetMode="External"/><Relationship Id="rId112" Type="http://schemas.openxmlformats.org/officeDocument/2006/relationships/hyperlink" Target="https://www.youtube.com/watch?v=_yj2-ziWePA" TargetMode="External"/><Relationship Id="rId233" Type="http://schemas.openxmlformats.org/officeDocument/2006/relationships/hyperlink" Target="https://www.youtube.com/watch?v=8Ctd0Pkn5_w" TargetMode="External"/><Relationship Id="rId111" Type="http://schemas.openxmlformats.org/officeDocument/2006/relationships/hyperlink" Target="https://www.youtube.com/watch?v=-qq7gmn1ohA" TargetMode="External"/><Relationship Id="rId232" Type="http://schemas.openxmlformats.org/officeDocument/2006/relationships/hyperlink" Target="https://www.youtube.com/watch?v=YVWwbNMSUJg" TargetMode="External"/><Relationship Id="rId206" Type="http://schemas.openxmlformats.org/officeDocument/2006/relationships/hyperlink" Target="https://www.youtube.com/watch?v=ginBJKukxNw" TargetMode="External"/><Relationship Id="rId205" Type="http://schemas.openxmlformats.org/officeDocument/2006/relationships/hyperlink" Target="https://www.youtube.com/watch?v=HQDuvd_aMsg" TargetMode="External"/><Relationship Id="rId204" Type="http://schemas.openxmlformats.org/officeDocument/2006/relationships/hyperlink" Target="https://www.youtube.com/watch?v=TP4jauvKQbQ" TargetMode="External"/><Relationship Id="rId203" Type="http://schemas.openxmlformats.org/officeDocument/2006/relationships/hyperlink" Target="https://www.youtube.com/watch?v=Mni9qNkZUig" TargetMode="External"/><Relationship Id="rId209" Type="http://schemas.openxmlformats.org/officeDocument/2006/relationships/hyperlink" Target="https://www.youtube.com/watch?v=tSs6nOPaWeU" TargetMode="External"/><Relationship Id="rId208" Type="http://schemas.openxmlformats.org/officeDocument/2006/relationships/hyperlink" Target="https://www.youtube.com/watch?v=ANSPRR66LL8" TargetMode="External"/><Relationship Id="rId207" Type="http://schemas.openxmlformats.org/officeDocument/2006/relationships/hyperlink" Target="https://www.youtube.com/watch?v=K96RMu8AOL0" TargetMode="External"/><Relationship Id="rId202" Type="http://schemas.openxmlformats.org/officeDocument/2006/relationships/hyperlink" Target="https://www.youtube.com/watch?v=TzD_EBAAFs8" TargetMode="External"/><Relationship Id="rId201" Type="http://schemas.openxmlformats.org/officeDocument/2006/relationships/hyperlink" Target="https://www.youtube.com/watch?v=WNwf4yHJaRA" TargetMode="External"/><Relationship Id="rId200" Type="http://schemas.openxmlformats.org/officeDocument/2006/relationships/hyperlink" Target="https://www.youtube.com/watch?v=fsDO6TzvhUY" TargetMode="External"/></Relationships>
</file>

<file path=xl/worksheets/_rels/sheet5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youtube.com/watch?v=HNUf3XqdLxo" TargetMode="External"/><Relationship Id="rId190" Type="http://schemas.openxmlformats.org/officeDocument/2006/relationships/hyperlink" Target="https://www.youtube.com/watch?v=gIZFkOUprOg" TargetMode="External"/><Relationship Id="rId42" Type="http://schemas.openxmlformats.org/officeDocument/2006/relationships/hyperlink" Target="https://www.youtube.com/watch?v=jdkvhiYV8Vs" TargetMode="External"/><Relationship Id="rId41" Type="http://schemas.openxmlformats.org/officeDocument/2006/relationships/hyperlink" Target="https://www.youtube.com/watch?v=yR4TR40mQtA" TargetMode="External"/><Relationship Id="rId44" Type="http://schemas.openxmlformats.org/officeDocument/2006/relationships/hyperlink" Target="https://www.youtube.com/watch?v=NJXVqvf4iUQ" TargetMode="External"/><Relationship Id="rId194" Type="http://schemas.openxmlformats.org/officeDocument/2006/relationships/hyperlink" Target="https://www.youtube.com/watch?v=GXoYuWMSFUI" TargetMode="External"/><Relationship Id="rId43" Type="http://schemas.openxmlformats.org/officeDocument/2006/relationships/hyperlink" Target="https://www.youtube.com/watch?v=XHS7AzEG8pI" TargetMode="External"/><Relationship Id="rId193" Type="http://schemas.openxmlformats.org/officeDocument/2006/relationships/hyperlink" Target="https://www.youtube.com/watch?v=Ci8UyyttH_c" TargetMode="External"/><Relationship Id="rId46" Type="http://schemas.openxmlformats.org/officeDocument/2006/relationships/hyperlink" Target="https://www.youtube.com/watch?v=-Wkto3QNB3k" TargetMode="External"/><Relationship Id="rId192" Type="http://schemas.openxmlformats.org/officeDocument/2006/relationships/hyperlink" Target="https://www.youtube.com/watch?v=YbKXSwKoXlA" TargetMode="External"/><Relationship Id="rId45" Type="http://schemas.openxmlformats.org/officeDocument/2006/relationships/hyperlink" Target="https://www.youtube.com/watch?v=qh74U1m6380" TargetMode="External"/><Relationship Id="rId191" Type="http://schemas.openxmlformats.org/officeDocument/2006/relationships/hyperlink" Target="https://www.youtube.com/watch?v=M0dPR1Jkf20" TargetMode="External"/><Relationship Id="rId48" Type="http://schemas.openxmlformats.org/officeDocument/2006/relationships/hyperlink" Target="https://www.youtube.com/watch?v=s9h6K_7-w8I" TargetMode="External"/><Relationship Id="rId187" Type="http://schemas.openxmlformats.org/officeDocument/2006/relationships/hyperlink" Target="https://www.youtube.com/watch?v=9KKxwGevdWY" TargetMode="External"/><Relationship Id="rId47" Type="http://schemas.openxmlformats.org/officeDocument/2006/relationships/hyperlink" Target="https://www.youtube.com/watch?v=6CZr43aRVBQ" TargetMode="External"/><Relationship Id="rId186" Type="http://schemas.openxmlformats.org/officeDocument/2006/relationships/hyperlink" Target="https://www.youtube.com/watch?v=Yz7m0THUR4Y" TargetMode="External"/><Relationship Id="rId185" Type="http://schemas.openxmlformats.org/officeDocument/2006/relationships/hyperlink" Target="https://www.youtube.com/watch?v=rR4VN8ZE420" TargetMode="External"/><Relationship Id="rId49" Type="http://schemas.openxmlformats.org/officeDocument/2006/relationships/hyperlink" Target="https://www.youtube.com/watch?v=AY5L2I_2sYM" TargetMode="External"/><Relationship Id="rId184" Type="http://schemas.openxmlformats.org/officeDocument/2006/relationships/hyperlink" Target="https://www.youtube.com/watch?v=QEQaKeppT5s" TargetMode="External"/><Relationship Id="rId189" Type="http://schemas.openxmlformats.org/officeDocument/2006/relationships/hyperlink" Target="https://www.youtube.com/watch?v=CH20j8YzYvs" TargetMode="External"/><Relationship Id="rId188" Type="http://schemas.openxmlformats.org/officeDocument/2006/relationships/hyperlink" Target="https://www.youtube.com/watch?v=KR1UXQUcZGw" TargetMode="External"/><Relationship Id="rId31" Type="http://schemas.openxmlformats.org/officeDocument/2006/relationships/hyperlink" Target="https://www.youtube.com/watch?v=5Jq_v3Gwbno" TargetMode="External"/><Relationship Id="rId30" Type="http://schemas.openxmlformats.org/officeDocument/2006/relationships/hyperlink" Target="https://www.youtube.com/watch?v=63Xwv3F90Sw" TargetMode="External"/><Relationship Id="rId33" Type="http://schemas.openxmlformats.org/officeDocument/2006/relationships/hyperlink" Target="https://www.youtube.com/watch?v=FpotkbosXMY" TargetMode="External"/><Relationship Id="rId183" Type="http://schemas.openxmlformats.org/officeDocument/2006/relationships/hyperlink" Target="https://www.youtube.com/watch?v=k_tXq4fJ7Hw" TargetMode="External"/><Relationship Id="rId32" Type="http://schemas.openxmlformats.org/officeDocument/2006/relationships/hyperlink" Target="https://www.youtube.com/watch?v=EAfSkHFaOEU" TargetMode="External"/><Relationship Id="rId182" Type="http://schemas.openxmlformats.org/officeDocument/2006/relationships/hyperlink" Target="https://www.youtube.com/watch?v=GaCrNMJQiaI" TargetMode="External"/><Relationship Id="rId35" Type="http://schemas.openxmlformats.org/officeDocument/2006/relationships/hyperlink" Target="https://www.youtube.com/watch?v=nhVYzwB6mC0" TargetMode="External"/><Relationship Id="rId181" Type="http://schemas.openxmlformats.org/officeDocument/2006/relationships/hyperlink" Target="https://www.youtube.com/watch?v=U0NnoB5iNIE" TargetMode="External"/><Relationship Id="rId34" Type="http://schemas.openxmlformats.org/officeDocument/2006/relationships/hyperlink" Target="https://www.youtube.com/watch?v=Tb624UGPdao" TargetMode="External"/><Relationship Id="rId180" Type="http://schemas.openxmlformats.org/officeDocument/2006/relationships/hyperlink" Target="https://www.youtube.com/watch?v=3vPhRI3wdj8" TargetMode="External"/><Relationship Id="rId37" Type="http://schemas.openxmlformats.org/officeDocument/2006/relationships/hyperlink" Target="https://www.youtube.com/watch?v=_dgLpiPZOEg" TargetMode="External"/><Relationship Id="rId176" Type="http://schemas.openxmlformats.org/officeDocument/2006/relationships/hyperlink" Target="https://www.youtube.com/watch?v=61Cn3jiB4Ak" TargetMode="External"/><Relationship Id="rId36" Type="http://schemas.openxmlformats.org/officeDocument/2006/relationships/hyperlink" Target="https://www.youtube.com/watch?v=_zUx31Jm7ZI" TargetMode="External"/><Relationship Id="rId175" Type="http://schemas.openxmlformats.org/officeDocument/2006/relationships/hyperlink" Target="https://www.youtube.com/watch?v=LQ_x9V0axAY" TargetMode="External"/><Relationship Id="rId39" Type="http://schemas.openxmlformats.org/officeDocument/2006/relationships/hyperlink" Target="https://www.youtube.com/watch?v=iB61pKhTaH8" TargetMode="External"/><Relationship Id="rId174" Type="http://schemas.openxmlformats.org/officeDocument/2006/relationships/hyperlink" Target="https://www.youtube.com/watch?v=8dh-YKAFrbM" TargetMode="External"/><Relationship Id="rId38" Type="http://schemas.openxmlformats.org/officeDocument/2006/relationships/hyperlink" Target="https://www.youtube.com/watch?v=vmWUzoHOPLM" TargetMode="External"/><Relationship Id="rId173" Type="http://schemas.openxmlformats.org/officeDocument/2006/relationships/hyperlink" Target="https://www.youtube.com/watch?v=zXFkoho4hDc" TargetMode="External"/><Relationship Id="rId179" Type="http://schemas.openxmlformats.org/officeDocument/2006/relationships/hyperlink" Target="https://www.youtube.com/watch?v=8hqSWPw1Uyo" TargetMode="External"/><Relationship Id="rId178" Type="http://schemas.openxmlformats.org/officeDocument/2006/relationships/hyperlink" Target="https://www.youtube.com/watch?v=gUJQfzTdPH8" TargetMode="External"/><Relationship Id="rId177" Type="http://schemas.openxmlformats.org/officeDocument/2006/relationships/hyperlink" Target="https://www.youtube.com/watch?v=i-_xIBUl64g" TargetMode="External"/><Relationship Id="rId20" Type="http://schemas.openxmlformats.org/officeDocument/2006/relationships/hyperlink" Target="https://www.youtube.com/watch?v=dAfUGhq2aWo" TargetMode="External"/><Relationship Id="rId22" Type="http://schemas.openxmlformats.org/officeDocument/2006/relationships/hyperlink" Target="https://www.youtube.com/watch?v=F1bEA1c2enQ" TargetMode="External"/><Relationship Id="rId21" Type="http://schemas.openxmlformats.org/officeDocument/2006/relationships/hyperlink" Target="https://www.youtube.com/watch?v=IjBzfiVVnmA" TargetMode="External"/><Relationship Id="rId24" Type="http://schemas.openxmlformats.org/officeDocument/2006/relationships/hyperlink" Target="https://www.youtube.com/watch?v=-TGKxUtsapM" TargetMode="External"/><Relationship Id="rId23" Type="http://schemas.openxmlformats.org/officeDocument/2006/relationships/hyperlink" Target="https://www.youtube.com/watch?v=QstROEk3n3w" TargetMode="External"/><Relationship Id="rId26" Type="http://schemas.openxmlformats.org/officeDocument/2006/relationships/hyperlink" Target="https://www.youtube.com/watch?v=BzvMd2vhnwo" TargetMode="External"/><Relationship Id="rId25" Type="http://schemas.openxmlformats.org/officeDocument/2006/relationships/hyperlink" Target="https://www.youtube.com/watch?v=nSrn0NQ-sqU" TargetMode="External"/><Relationship Id="rId28" Type="http://schemas.openxmlformats.org/officeDocument/2006/relationships/hyperlink" Target="https://www.youtube.com/watch?v=7C1VfIPvIkU" TargetMode="External"/><Relationship Id="rId27" Type="http://schemas.openxmlformats.org/officeDocument/2006/relationships/hyperlink" Target="https://www.youtube.com/watch?v=Y3zyVuSGGwg" TargetMode="External"/><Relationship Id="rId29" Type="http://schemas.openxmlformats.org/officeDocument/2006/relationships/hyperlink" Target="https://www.youtube.com/watch?v=Ieo4HhCOg3s" TargetMode="External"/><Relationship Id="rId11" Type="http://schemas.openxmlformats.org/officeDocument/2006/relationships/hyperlink" Target="https://www.youtube.com/watch?v=hQhyTSPwBQY" TargetMode="External"/><Relationship Id="rId10" Type="http://schemas.openxmlformats.org/officeDocument/2006/relationships/hyperlink" Target="https://www.youtube.com/watch?v=1N9p4XzRlGQ" TargetMode="External"/><Relationship Id="rId13" Type="http://schemas.openxmlformats.org/officeDocument/2006/relationships/hyperlink" Target="https://www.youtube.com/watch?v=gt9yNLToDJ8" TargetMode="External"/><Relationship Id="rId12" Type="http://schemas.openxmlformats.org/officeDocument/2006/relationships/hyperlink" Target="https://www.youtube.com/watch?v=Lcs8SvGJY9s" TargetMode="External"/><Relationship Id="rId15" Type="http://schemas.openxmlformats.org/officeDocument/2006/relationships/hyperlink" Target="https://www.youtube.com/watch?v=MU_ZNqBSL_A" TargetMode="External"/><Relationship Id="rId198" Type="http://schemas.openxmlformats.org/officeDocument/2006/relationships/hyperlink" Target="https://www.youtube.com/watch?v=vCdD9L8LMZk" TargetMode="External"/><Relationship Id="rId14" Type="http://schemas.openxmlformats.org/officeDocument/2006/relationships/hyperlink" Target="https://www.youtube.com/watch?v=V2MXgrXvRTw" TargetMode="External"/><Relationship Id="rId197" Type="http://schemas.openxmlformats.org/officeDocument/2006/relationships/hyperlink" Target="https://www.youtube.com/watch?v=0tEX2n49VtA" TargetMode="External"/><Relationship Id="rId17" Type="http://schemas.openxmlformats.org/officeDocument/2006/relationships/hyperlink" Target="https://www.youtube.com/watch?v=uM-Z_1vzAyE" TargetMode="External"/><Relationship Id="rId196" Type="http://schemas.openxmlformats.org/officeDocument/2006/relationships/hyperlink" Target="https://www.youtube.com/watch?v=I6ZbyFFO8sY" TargetMode="External"/><Relationship Id="rId16" Type="http://schemas.openxmlformats.org/officeDocument/2006/relationships/hyperlink" Target="https://www.youtube.com/watch?v=od08aeD-tqw" TargetMode="External"/><Relationship Id="rId195" Type="http://schemas.openxmlformats.org/officeDocument/2006/relationships/hyperlink" Target="https://www.youtube.com/watch?v=72K05k9uUYM" TargetMode="External"/><Relationship Id="rId19" Type="http://schemas.openxmlformats.org/officeDocument/2006/relationships/hyperlink" Target="https://www.youtube.com/watch?v=syL1B79b7U0" TargetMode="External"/><Relationship Id="rId18" Type="http://schemas.openxmlformats.org/officeDocument/2006/relationships/hyperlink" Target="https://www.youtube.com/watch?v=9APN5YdAPy8" TargetMode="External"/><Relationship Id="rId199" Type="http://schemas.openxmlformats.org/officeDocument/2006/relationships/hyperlink" Target="https://www.youtube.com/watch?v=xF8EleGIzIc" TargetMode="External"/><Relationship Id="rId84" Type="http://schemas.openxmlformats.org/officeDocument/2006/relationships/hyperlink" Target="https://www.youtube.com/watch?v=3IITOqYiAWU" TargetMode="External"/><Relationship Id="rId83" Type="http://schemas.openxmlformats.org/officeDocument/2006/relationships/hyperlink" Target="https://www.youtube.com/watch?v=xSJpR6HiBso" TargetMode="External"/><Relationship Id="rId86" Type="http://schemas.openxmlformats.org/officeDocument/2006/relationships/hyperlink" Target="https://www.youtube.com/watch?v=uE61Ys4Y0aY" TargetMode="External"/><Relationship Id="rId85" Type="http://schemas.openxmlformats.org/officeDocument/2006/relationships/hyperlink" Target="https://www.youtube.com/watch?v=sZ2C_qZMo_U" TargetMode="External"/><Relationship Id="rId88" Type="http://schemas.openxmlformats.org/officeDocument/2006/relationships/hyperlink" Target="https://www.youtube.com/watch?v=PX2jqwpWchk" TargetMode="External"/><Relationship Id="rId150" Type="http://schemas.openxmlformats.org/officeDocument/2006/relationships/hyperlink" Target="https://www.youtube.com/watch?v=j2Ujs5SkCR0" TargetMode="External"/><Relationship Id="rId87" Type="http://schemas.openxmlformats.org/officeDocument/2006/relationships/hyperlink" Target="https://www.youtube.com/watch?v=VJmL1N2JNg4" TargetMode="External"/><Relationship Id="rId89" Type="http://schemas.openxmlformats.org/officeDocument/2006/relationships/hyperlink" Target="https://www.youtube.com/watch?v=8zIFw0DCnAE" TargetMode="External"/><Relationship Id="rId80" Type="http://schemas.openxmlformats.org/officeDocument/2006/relationships/hyperlink" Target="https://www.youtube.com/watch?v=p_gGwLr9krU" TargetMode="External"/><Relationship Id="rId82" Type="http://schemas.openxmlformats.org/officeDocument/2006/relationships/hyperlink" Target="https://www.youtube.com/watch?v=vdt-z10DLgg" TargetMode="External"/><Relationship Id="rId81" Type="http://schemas.openxmlformats.org/officeDocument/2006/relationships/hyperlink" Target="https://www.youtube.com/watch?v=s03pONIqR34" TargetMode="External"/><Relationship Id="rId1" Type="http://schemas.openxmlformats.org/officeDocument/2006/relationships/hyperlink" Target="https://www.youtube.com/watch?v=Wi49qY-93yo" TargetMode="External"/><Relationship Id="rId2" Type="http://schemas.openxmlformats.org/officeDocument/2006/relationships/hyperlink" Target="https://www.youtube.com/watch?v=vY3VOmTe1og" TargetMode="External"/><Relationship Id="rId3" Type="http://schemas.openxmlformats.org/officeDocument/2006/relationships/hyperlink" Target="https://www.youtube.com/watch?v=7ti6QcA_YOw" TargetMode="External"/><Relationship Id="rId149" Type="http://schemas.openxmlformats.org/officeDocument/2006/relationships/hyperlink" Target="https://www.youtube.com/watch?v=L7VHcRWmCeo" TargetMode="External"/><Relationship Id="rId4" Type="http://schemas.openxmlformats.org/officeDocument/2006/relationships/hyperlink" Target="https://www.youtube.com/watch?v=y515DPiG10E" TargetMode="External"/><Relationship Id="rId148" Type="http://schemas.openxmlformats.org/officeDocument/2006/relationships/hyperlink" Target="https://www.youtube.com/watch?v=PuYWS1E9nd0" TargetMode="External"/><Relationship Id="rId9" Type="http://schemas.openxmlformats.org/officeDocument/2006/relationships/hyperlink" Target="https://www.youtube.com/watch?v=PaJq1y6PIiE" TargetMode="External"/><Relationship Id="rId143" Type="http://schemas.openxmlformats.org/officeDocument/2006/relationships/hyperlink" Target="https://www.youtube.com/watch?v=V0qdrsEz3dc" TargetMode="External"/><Relationship Id="rId142" Type="http://schemas.openxmlformats.org/officeDocument/2006/relationships/hyperlink" Target="https://www.youtube.com/watch?v=_2fupYXdpKI" TargetMode="External"/><Relationship Id="rId141" Type="http://schemas.openxmlformats.org/officeDocument/2006/relationships/hyperlink" Target="https://www.youtube.com/watch?v=-XKEf7otU2A" TargetMode="External"/><Relationship Id="rId140" Type="http://schemas.openxmlformats.org/officeDocument/2006/relationships/hyperlink" Target="https://www.youtube.com/watch?v=nMkcdWLrJlE" TargetMode="External"/><Relationship Id="rId5" Type="http://schemas.openxmlformats.org/officeDocument/2006/relationships/hyperlink" Target="https://www.youtube.com/watch?v=pVGIDw3U_Ac" TargetMode="External"/><Relationship Id="rId147" Type="http://schemas.openxmlformats.org/officeDocument/2006/relationships/hyperlink" Target="https://www.youtube.com/watch?v=Ttu23q9GQp0" TargetMode="External"/><Relationship Id="rId6" Type="http://schemas.openxmlformats.org/officeDocument/2006/relationships/hyperlink" Target="https://www.youtube.com/watch?v=Gxf_LGhDITY" TargetMode="External"/><Relationship Id="rId146" Type="http://schemas.openxmlformats.org/officeDocument/2006/relationships/hyperlink" Target="https://www.youtube.com/watch?v=SvXVuWVPZco" TargetMode="External"/><Relationship Id="rId7" Type="http://schemas.openxmlformats.org/officeDocument/2006/relationships/hyperlink" Target="https://www.youtube.com/watch?v=cpT1_1fG7m4" TargetMode="External"/><Relationship Id="rId145" Type="http://schemas.openxmlformats.org/officeDocument/2006/relationships/hyperlink" Target="https://www.youtube.com/watch?v=EGn8EGiDfpU" TargetMode="External"/><Relationship Id="rId8" Type="http://schemas.openxmlformats.org/officeDocument/2006/relationships/hyperlink" Target="https://www.youtube.com/watch?v=X-7cutzvub8" TargetMode="External"/><Relationship Id="rId144" Type="http://schemas.openxmlformats.org/officeDocument/2006/relationships/hyperlink" Target="https://www.youtube.com/watch?v=YWfoJe8rpOo" TargetMode="External"/><Relationship Id="rId73" Type="http://schemas.openxmlformats.org/officeDocument/2006/relationships/hyperlink" Target="https://www.youtube.com/watch?v=7AJlRJGgf6g" TargetMode="External"/><Relationship Id="rId72" Type="http://schemas.openxmlformats.org/officeDocument/2006/relationships/hyperlink" Target="https://www.youtube.com/watch?v=WlJiQWxVSCE" TargetMode="External"/><Relationship Id="rId75" Type="http://schemas.openxmlformats.org/officeDocument/2006/relationships/hyperlink" Target="https://www.youtube.com/watch?v=AQhXxf7mwwQ" TargetMode="External"/><Relationship Id="rId74" Type="http://schemas.openxmlformats.org/officeDocument/2006/relationships/hyperlink" Target="https://www.youtube.com/watch?v=QLxAlSfk3Uk" TargetMode="External"/><Relationship Id="rId77" Type="http://schemas.openxmlformats.org/officeDocument/2006/relationships/hyperlink" Target="https://www.youtube.com/watch?v=dES7cJNYJJU" TargetMode="External"/><Relationship Id="rId76" Type="http://schemas.openxmlformats.org/officeDocument/2006/relationships/hyperlink" Target="https://www.youtube.com/watch?v=rRA-LJOcoEQ" TargetMode="External"/><Relationship Id="rId79" Type="http://schemas.openxmlformats.org/officeDocument/2006/relationships/hyperlink" Target="https://www.youtube.com/watch?v=Dz_kky245eo" TargetMode="External"/><Relationship Id="rId78" Type="http://schemas.openxmlformats.org/officeDocument/2006/relationships/hyperlink" Target="https://www.youtube.com/watch?v=lMQcnMI_SZU" TargetMode="External"/><Relationship Id="rId71" Type="http://schemas.openxmlformats.org/officeDocument/2006/relationships/hyperlink" Target="https://www.youtube.com/watch?v=NiyDfzJ0S5E" TargetMode="External"/><Relationship Id="rId70" Type="http://schemas.openxmlformats.org/officeDocument/2006/relationships/hyperlink" Target="https://www.youtube.com/watch?v=Y2d-dF5AKsw" TargetMode="External"/><Relationship Id="rId139" Type="http://schemas.openxmlformats.org/officeDocument/2006/relationships/hyperlink" Target="https://www.youtube.com/watch?v=5Ml1G33OlmU" TargetMode="External"/><Relationship Id="rId138" Type="http://schemas.openxmlformats.org/officeDocument/2006/relationships/hyperlink" Target="https://www.youtube.com/watch?v=uQ4bar5iqGA" TargetMode="External"/><Relationship Id="rId137" Type="http://schemas.openxmlformats.org/officeDocument/2006/relationships/hyperlink" Target="https://www.youtube.com/watch?v=tSnRWEh7VXw" TargetMode="External"/><Relationship Id="rId132" Type="http://schemas.openxmlformats.org/officeDocument/2006/relationships/hyperlink" Target="https://www.youtube.com/watch?v=YJCgjloB06c" TargetMode="External"/><Relationship Id="rId131" Type="http://schemas.openxmlformats.org/officeDocument/2006/relationships/hyperlink" Target="https://www.youtube.com/watch?v=n4Iz020iv2k" TargetMode="External"/><Relationship Id="rId130" Type="http://schemas.openxmlformats.org/officeDocument/2006/relationships/hyperlink" Target="https://www.youtube.com/watch?v=xNY6cJKRim0" TargetMode="External"/><Relationship Id="rId136" Type="http://schemas.openxmlformats.org/officeDocument/2006/relationships/hyperlink" Target="https://www.youtube.com/watch?v=cm6sHETqoAc" TargetMode="External"/><Relationship Id="rId135" Type="http://schemas.openxmlformats.org/officeDocument/2006/relationships/hyperlink" Target="https://www.youtube.com/watch?v=5yeaJzkGS1A" TargetMode="External"/><Relationship Id="rId134" Type="http://schemas.openxmlformats.org/officeDocument/2006/relationships/hyperlink" Target="https://www.youtube.com/watch?v=YVCgPpwZFco" TargetMode="External"/><Relationship Id="rId133" Type="http://schemas.openxmlformats.org/officeDocument/2006/relationships/hyperlink" Target="https://www.youtube.com/watch?v=fdL_NhTnlz4" TargetMode="External"/><Relationship Id="rId62" Type="http://schemas.openxmlformats.org/officeDocument/2006/relationships/hyperlink" Target="https://www.youtube.com/watch?v=QNncPUaV6Qs" TargetMode="External"/><Relationship Id="rId61" Type="http://schemas.openxmlformats.org/officeDocument/2006/relationships/hyperlink" Target="https://www.youtube.com/watch?v=72_NpzjMx0k" TargetMode="External"/><Relationship Id="rId64" Type="http://schemas.openxmlformats.org/officeDocument/2006/relationships/hyperlink" Target="https://www.youtube.com/watch?v=Q9qXIprHwt0" TargetMode="External"/><Relationship Id="rId63" Type="http://schemas.openxmlformats.org/officeDocument/2006/relationships/hyperlink" Target="https://www.youtube.com/watch?v=SCPe_uB60YY" TargetMode="External"/><Relationship Id="rId66" Type="http://schemas.openxmlformats.org/officeDocument/2006/relationships/hyperlink" Target="https://www.youtube.com/watch?v=yIAdg5qlhT8" TargetMode="External"/><Relationship Id="rId172" Type="http://schemas.openxmlformats.org/officeDocument/2006/relationships/hyperlink" Target="https://www.youtube.com/watch?v=v-ijhjtLquc" TargetMode="External"/><Relationship Id="rId65" Type="http://schemas.openxmlformats.org/officeDocument/2006/relationships/hyperlink" Target="https://www.youtube.com/watch?v=cCZ36P34A3o" TargetMode="External"/><Relationship Id="rId171" Type="http://schemas.openxmlformats.org/officeDocument/2006/relationships/hyperlink" Target="https://www.youtube.com/watch?v=KgdpTKolhzc" TargetMode="External"/><Relationship Id="rId68" Type="http://schemas.openxmlformats.org/officeDocument/2006/relationships/hyperlink" Target="https://www.youtube.com/watch?v=r2uAb_CMBRs" TargetMode="External"/><Relationship Id="rId170" Type="http://schemas.openxmlformats.org/officeDocument/2006/relationships/hyperlink" Target="https://www.youtube.com/watch?v=nuA34aGg0HM" TargetMode="External"/><Relationship Id="rId67" Type="http://schemas.openxmlformats.org/officeDocument/2006/relationships/hyperlink" Target="https://www.youtube.com/watch?v=-krubd5Hrbo" TargetMode="External"/><Relationship Id="rId60" Type="http://schemas.openxmlformats.org/officeDocument/2006/relationships/hyperlink" Target="https://www.youtube.com/watch?v=AOilhoLfd9w" TargetMode="External"/><Relationship Id="rId165" Type="http://schemas.openxmlformats.org/officeDocument/2006/relationships/hyperlink" Target="https://www.youtube.com/watch?v=g3tnOTbplwA" TargetMode="External"/><Relationship Id="rId69" Type="http://schemas.openxmlformats.org/officeDocument/2006/relationships/hyperlink" Target="https://www.youtube.com/watch?v=bU6xveT_oIE" TargetMode="External"/><Relationship Id="rId164" Type="http://schemas.openxmlformats.org/officeDocument/2006/relationships/hyperlink" Target="https://www.youtube.com/watch?v=uBIcURcVdII" TargetMode="External"/><Relationship Id="rId163" Type="http://schemas.openxmlformats.org/officeDocument/2006/relationships/hyperlink" Target="https://www.youtube.com/watch?v=ISKkVBztSX8" TargetMode="External"/><Relationship Id="rId162" Type="http://schemas.openxmlformats.org/officeDocument/2006/relationships/hyperlink" Target="https://www.youtube.com/watch?v=x4bAw_23sYI" TargetMode="External"/><Relationship Id="rId169" Type="http://schemas.openxmlformats.org/officeDocument/2006/relationships/hyperlink" Target="https://www.youtube.com/watch?v=KjC9OJ_9qMM" TargetMode="External"/><Relationship Id="rId168" Type="http://schemas.openxmlformats.org/officeDocument/2006/relationships/hyperlink" Target="https://www.youtube.com/watch?v=Gd75lO59zJU" TargetMode="External"/><Relationship Id="rId167" Type="http://schemas.openxmlformats.org/officeDocument/2006/relationships/hyperlink" Target="https://www.youtube.com/watch?v=Rba-LIOpRZY" TargetMode="External"/><Relationship Id="rId166" Type="http://schemas.openxmlformats.org/officeDocument/2006/relationships/hyperlink" Target="https://www.youtube.com/watch?v=VIpp3xs837Y" TargetMode="External"/><Relationship Id="rId51" Type="http://schemas.openxmlformats.org/officeDocument/2006/relationships/hyperlink" Target="https://www.youtube.com/watch?v=Qg0gT9xzWns" TargetMode="External"/><Relationship Id="rId50" Type="http://schemas.openxmlformats.org/officeDocument/2006/relationships/hyperlink" Target="https://www.youtube.com/watch?v=ZizIQztvO9c" TargetMode="External"/><Relationship Id="rId53" Type="http://schemas.openxmlformats.org/officeDocument/2006/relationships/hyperlink" Target="https://www.youtube.com/watch?v=lwvuxXhMEMQ" TargetMode="External"/><Relationship Id="rId52" Type="http://schemas.openxmlformats.org/officeDocument/2006/relationships/hyperlink" Target="https://www.youtube.com/watch?v=F-wlfwhMbk4" TargetMode="External"/><Relationship Id="rId55" Type="http://schemas.openxmlformats.org/officeDocument/2006/relationships/hyperlink" Target="https://www.youtube.com/watch?v=AuRdGAGi3SI" TargetMode="External"/><Relationship Id="rId161" Type="http://schemas.openxmlformats.org/officeDocument/2006/relationships/hyperlink" Target="https://www.youtube.com/watch?v=taWH5nSBH9o" TargetMode="External"/><Relationship Id="rId54" Type="http://schemas.openxmlformats.org/officeDocument/2006/relationships/hyperlink" Target="https://www.youtube.com/watch?v=gxLsH-CUArc" TargetMode="External"/><Relationship Id="rId160" Type="http://schemas.openxmlformats.org/officeDocument/2006/relationships/hyperlink" Target="https://www.youtube.com/watch?v=HiV4g-iBUHM" TargetMode="External"/><Relationship Id="rId57" Type="http://schemas.openxmlformats.org/officeDocument/2006/relationships/hyperlink" Target="https://www.youtube.com/watch?v=nFIsvERaxyg" TargetMode="External"/><Relationship Id="rId56" Type="http://schemas.openxmlformats.org/officeDocument/2006/relationships/hyperlink" Target="https://www.youtube.com/watch?v=iluEatljwV4" TargetMode="External"/><Relationship Id="rId159" Type="http://schemas.openxmlformats.org/officeDocument/2006/relationships/hyperlink" Target="https://www.youtube.com/watch?v=gAL5ak47C7A" TargetMode="External"/><Relationship Id="rId59" Type="http://schemas.openxmlformats.org/officeDocument/2006/relationships/hyperlink" Target="https://www.youtube.com/watch?v=fg3PBPMQ2e4" TargetMode="External"/><Relationship Id="rId154" Type="http://schemas.openxmlformats.org/officeDocument/2006/relationships/hyperlink" Target="https://www.youtube.com/watch?v=cvmkeVOATtY" TargetMode="External"/><Relationship Id="rId58" Type="http://schemas.openxmlformats.org/officeDocument/2006/relationships/hyperlink" Target="https://www.youtube.com/watch?v=obdT_vFnxtM" TargetMode="External"/><Relationship Id="rId153" Type="http://schemas.openxmlformats.org/officeDocument/2006/relationships/hyperlink" Target="https://www.youtube.com/watch?v=Cp7NT2uRJLk" TargetMode="External"/><Relationship Id="rId152" Type="http://schemas.openxmlformats.org/officeDocument/2006/relationships/hyperlink" Target="https://www.youtube.com/watch?v=x-G6SfIxRBo" TargetMode="External"/><Relationship Id="rId151" Type="http://schemas.openxmlformats.org/officeDocument/2006/relationships/hyperlink" Target="https://www.youtube.com/watch?v=bfpC6GPbYnw" TargetMode="External"/><Relationship Id="rId158" Type="http://schemas.openxmlformats.org/officeDocument/2006/relationships/hyperlink" Target="https://www.youtube.com/watch?v=vj69pQvj_yY" TargetMode="External"/><Relationship Id="rId157" Type="http://schemas.openxmlformats.org/officeDocument/2006/relationships/hyperlink" Target="https://www.youtube.com/watch?v=D42xwLbn1mQ" TargetMode="External"/><Relationship Id="rId156" Type="http://schemas.openxmlformats.org/officeDocument/2006/relationships/hyperlink" Target="https://www.youtube.com/watch?v=qTojK-yPSl4" TargetMode="External"/><Relationship Id="rId155" Type="http://schemas.openxmlformats.org/officeDocument/2006/relationships/hyperlink" Target="https://www.youtube.com/watch?v=awpb6C0Zdq4" TargetMode="External"/><Relationship Id="rId107" Type="http://schemas.openxmlformats.org/officeDocument/2006/relationships/hyperlink" Target="https://www.youtube.com/watch?v=rKbkHuVfO60" TargetMode="External"/><Relationship Id="rId228" Type="http://schemas.openxmlformats.org/officeDocument/2006/relationships/hyperlink" Target="https://www.youtube.com/watch?v=mQ4t-OE-CJo" TargetMode="External"/><Relationship Id="rId106" Type="http://schemas.openxmlformats.org/officeDocument/2006/relationships/hyperlink" Target="https://www.youtube.com/watch?v=sKFWSVd0Cd0" TargetMode="External"/><Relationship Id="rId227" Type="http://schemas.openxmlformats.org/officeDocument/2006/relationships/hyperlink" Target="https://www.youtube.com/watch?v=ANmDOU6xot8" TargetMode="External"/><Relationship Id="rId105" Type="http://schemas.openxmlformats.org/officeDocument/2006/relationships/hyperlink" Target="https://www.youtube.com/watch?v=d1htees0O9w" TargetMode="External"/><Relationship Id="rId226" Type="http://schemas.openxmlformats.org/officeDocument/2006/relationships/hyperlink" Target="https://www.youtube.com/watch?v=vgVeeESoBJw" TargetMode="External"/><Relationship Id="rId104" Type="http://schemas.openxmlformats.org/officeDocument/2006/relationships/hyperlink" Target="https://www.youtube.com/watch?v=kar80MFpHXI" TargetMode="External"/><Relationship Id="rId225" Type="http://schemas.openxmlformats.org/officeDocument/2006/relationships/hyperlink" Target="https://www.youtube.com/watch?v=zcpLmJOnfbU" TargetMode="External"/><Relationship Id="rId109" Type="http://schemas.openxmlformats.org/officeDocument/2006/relationships/hyperlink" Target="https://www.youtube.com/watch?v=yldeubBRxP8" TargetMode="External"/><Relationship Id="rId108" Type="http://schemas.openxmlformats.org/officeDocument/2006/relationships/hyperlink" Target="https://www.youtube.com/watch?v=vL5vygLmOCE" TargetMode="External"/><Relationship Id="rId229" Type="http://schemas.openxmlformats.org/officeDocument/2006/relationships/hyperlink" Target="https://www.youtube.com/watch?v=RsPhQfb_x_4" TargetMode="External"/><Relationship Id="rId220" Type="http://schemas.openxmlformats.org/officeDocument/2006/relationships/hyperlink" Target="https://www.youtube.com/watch?v=Tz6EioYOURM" TargetMode="External"/><Relationship Id="rId103" Type="http://schemas.openxmlformats.org/officeDocument/2006/relationships/hyperlink" Target="https://www.youtube.com/watch?v=7vb_v-4AGHU" TargetMode="External"/><Relationship Id="rId224" Type="http://schemas.openxmlformats.org/officeDocument/2006/relationships/hyperlink" Target="https://www.youtube.com/watch?v=f0qwrKLQ4m8" TargetMode="External"/><Relationship Id="rId102" Type="http://schemas.openxmlformats.org/officeDocument/2006/relationships/hyperlink" Target="https://www.youtube.com/watch?v=cPyPNCGyzqU" TargetMode="External"/><Relationship Id="rId223" Type="http://schemas.openxmlformats.org/officeDocument/2006/relationships/hyperlink" Target="https://www.youtube.com/watch?v=vt5kudYfk6o" TargetMode="External"/><Relationship Id="rId101" Type="http://schemas.openxmlformats.org/officeDocument/2006/relationships/hyperlink" Target="https://www.youtube.com/watch?v=GrJXqpC6OZI" TargetMode="External"/><Relationship Id="rId222" Type="http://schemas.openxmlformats.org/officeDocument/2006/relationships/hyperlink" Target="https://www.youtube.com/watch?v=wdlOHthED-o" TargetMode="External"/><Relationship Id="rId100" Type="http://schemas.openxmlformats.org/officeDocument/2006/relationships/hyperlink" Target="https://www.youtube.com/watch?v=oHVZ-nKwuAI" TargetMode="External"/><Relationship Id="rId221" Type="http://schemas.openxmlformats.org/officeDocument/2006/relationships/hyperlink" Target="https://www.youtube.com/watch?v=0yVWgrF2jVA" TargetMode="External"/><Relationship Id="rId217" Type="http://schemas.openxmlformats.org/officeDocument/2006/relationships/hyperlink" Target="https://www.youtube.com/watch?v=fDyoa-9TYPY" TargetMode="External"/><Relationship Id="rId216" Type="http://schemas.openxmlformats.org/officeDocument/2006/relationships/hyperlink" Target="https://www.youtube.com/watch?v=nxNVVZRsnnI" TargetMode="External"/><Relationship Id="rId215" Type="http://schemas.openxmlformats.org/officeDocument/2006/relationships/hyperlink" Target="https://www.youtube.com/watch?v=5yAQ2lhRlWQ" TargetMode="External"/><Relationship Id="rId214" Type="http://schemas.openxmlformats.org/officeDocument/2006/relationships/hyperlink" Target="https://www.youtube.com/watch?v=XSCGg7ToGNQ" TargetMode="External"/><Relationship Id="rId219" Type="http://schemas.openxmlformats.org/officeDocument/2006/relationships/hyperlink" Target="https://www.youtube.com/watch?v=0Fq3qlq6Rn4" TargetMode="External"/><Relationship Id="rId218" Type="http://schemas.openxmlformats.org/officeDocument/2006/relationships/hyperlink" Target="https://www.youtube.com/watch?v=cKAJw0A5_wM" TargetMode="External"/><Relationship Id="rId213" Type="http://schemas.openxmlformats.org/officeDocument/2006/relationships/hyperlink" Target="https://www.youtube.com/watch?v=F14rE6OPf8c" TargetMode="External"/><Relationship Id="rId212" Type="http://schemas.openxmlformats.org/officeDocument/2006/relationships/hyperlink" Target="https://www.youtube.com/watch?v=J3i7HJdRkkk" TargetMode="External"/><Relationship Id="rId211" Type="http://schemas.openxmlformats.org/officeDocument/2006/relationships/hyperlink" Target="https://www.youtube.com/watch?v=w6XLdXYguBg" TargetMode="External"/><Relationship Id="rId210" Type="http://schemas.openxmlformats.org/officeDocument/2006/relationships/hyperlink" Target="https://www.youtube.com/watch?v=rihoy2TL3Ag" TargetMode="External"/><Relationship Id="rId129" Type="http://schemas.openxmlformats.org/officeDocument/2006/relationships/hyperlink" Target="https://www.youtube.com/watch?v=LK7AfpPb7Fo" TargetMode="External"/><Relationship Id="rId128" Type="http://schemas.openxmlformats.org/officeDocument/2006/relationships/hyperlink" Target="https://www.youtube.com/watch?v=ntyiqJzRcTg" TargetMode="External"/><Relationship Id="rId127" Type="http://schemas.openxmlformats.org/officeDocument/2006/relationships/hyperlink" Target="https://www.youtube.com/watch?v=jL8ZMaozkrw" TargetMode="External"/><Relationship Id="rId126" Type="http://schemas.openxmlformats.org/officeDocument/2006/relationships/hyperlink" Target="https://www.youtube.com/watch?v=QCxuG_BH6TM" TargetMode="External"/><Relationship Id="rId121" Type="http://schemas.openxmlformats.org/officeDocument/2006/relationships/hyperlink" Target="https://www.youtube.com/watch?v=F5NW3ZbBzHQ" TargetMode="External"/><Relationship Id="rId242" Type="http://schemas.openxmlformats.org/officeDocument/2006/relationships/hyperlink" Target="https://www.youtube.com/watch?v=RXQsxehBAiI" TargetMode="External"/><Relationship Id="rId120" Type="http://schemas.openxmlformats.org/officeDocument/2006/relationships/hyperlink" Target="https://www.youtube.com/watch?v=NiXfaT_pV1c" TargetMode="External"/><Relationship Id="rId241" Type="http://schemas.openxmlformats.org/officeDocument/2006/relationships/hyperlink" Target="https://www.youtube.com/watch?v=b8lS4_jXSBs" TargetMode="External"/><Relationship Id="rId240" Type="http://schemas.openxmlformats.org/officeDocument/2006/relationships/hyperlink" Target="https://www.youtube.com/watch?v=2C3FlX19pI0" TargetMode="External"/><Relationship Id="rId125" Type="http://schemas.openxmlformats.org/officeDocument/2006/relationships/hyperlink" Target="https://www.youtube.com/watch?v=qYCfOZBqkjo" TargetMode="External"/><Relationship Id="rId124" Type="http://schemas.openxmlformats.org/officeDocument/2006/relationships/hyperlink" Target="https://www.youtube.com/watch?v=5FOXBZyCTH8" TargetMode="External"/><Relationship Id="rId123" Type="http://schemas.openxmlformats.org/officeDocument/2006/relationships/hyperlink" Target="https://www.youtube.com/watch?v=997jhTCmVTs" TargetMode="External"/><Relationship Id="rId122" Type="http://schemas.openxmlformats.org/officeDocument/2006/relationships/hyperlink" Target="https://www.youtube.com/watch?v=mSgDL-Ldw_w" TargetMode="External"/><Relationship Id="rId243" Type="http://schemas.openxmlformats.org/officeDocument/2006/relationships/drawing" Target="../drawings/drawing5.xml"/><Relationship Id="rId95" Type="http://schemas.openxmlformats.org/officeDocument/2006/relationships/hyperlink" Target="https://www.youtube.com/watch?v=w16evBqVPdg" TargetMode="External"/><Relationship Id="rId94" Type="http://schemas.openxmlformats.org/officeDocument/2006/relationships/hyperlink" Target="https://www.youtube.com/watch?v=t9hgmTrcs6I" TargetMode="External"/><Relationship Id="rId97" Type="http://schemas.openxmlformats.org/officeDocument/2006/relationships/hyperlink" Target="https://www.youtube.com/watch?v=asAlNLnviDI" TargetMode="External"/><Relationship Id="rId96" Type="http://schemas.openxmlformats.org/officeDocument/2006/relationships/hyperlink" Target="https://www.youtube.com/watch?v=2wCZjitU-RM" TargetMode="External"/><Relationship Id="rId99" Type="http://schemas.openxmlformats.org/officeDocument/2006/relationships/hyperlink" Target="https://www.youtube.com/watch?v=3VS0Bofcq4w" TargetMode="External"/><Relationship Id="rId98" Type="http://schemas.openxmlformats.org/officeDocument/2006/relationships/hyperlink" Target="https://www.youtube.com/watch?v=ehGCU9L7tX8" TargetMode="External"/><Relationship Id="rId91" Type="http://schemas.openxmlformats.org/officeDocument/2006/relationships/hyperlink" Target="https://www.youtube.com/watch?v=qMt1he7yuN4" TargetMode="External"/><Relationship Id="rId90" Type="http://schemas.openxmlformats.org/officeDocument/2006/relationships/hyperlink" Target="https://www.youtube.com/watch?v=809JHj4GLqs" TargetMode="External"/><Relationship Id="rId93" Type="http://schemas.openxmlformats.org/officeDocument/2006/relationships/hyperlink" Target="https://www.youtube.com/watch?v=VI27JfY-IeM" TargetMode="External"/><Relationship Id="rId92" Type="http://schemas.openxmlformats.org/officeDocument/2006/relationships/hyperlink" Target="https://www.youtube.com/watch?v=L6o27Ww4MhU" TargetMode="External"/><Relationship Id="rId118" Type="http://schemas.openxmlformats.org/officeDocument/2006/relationships/hyperlink" Target="https://www.youtube.com/watch?v=y323_bT_xsE" TargetMode="External"/><Relationship Id="rId239" Type="http://schemas.openxmlformats.org/officeDocument/2006/relationships/hyperlink" Target="https://www.youtube.com/watch?v=dAlk5rje-kQ" TargetMode="External"/><Relationship Id="rId117" Type="http://schemas.openxmlformats.org/officeDocument/2006/relationships/hyperlink" Target="https://www.youtube.com/watch?v=lwzZTjdLbMo" TargetMode="External"/><Relationship Id="rId238" Type="http://schemas.openxmlformats.org/officeDocument/2006/relationships/hyperlink" Target="https://www.youtube.com/watch?v=2r6N1y6nF_I" TargetMode="External"/><Relationship Id="rId116" Type="http://schemas.openxmlformats.org/officeDocument/2006/relationships/hyperlink" Target="https://www.youtube.com/watch?v=kacqcxpSJHw" TargetMode="External"/><Relationship Id="rId237" Type="http://schemas.openxmlformats.org/officeDocument/2006/relationships/hyperlink" Target="https://www.youtube.com/watch?v=8rcdYqkvBBI" TargetMode="External"/><Relationship Id="rId115" Type="http://schemas.openxmlformats.org/officeDocument/2006/relationships/hyperlink" Target="https://www.youtube.com/watch?v=0mgeTElpErk" TargetMode="External"/><Relationship Id="rId236" Type="http://schemas.openxmlformats.org/officeDocument/2006/relationships/hyperlink" Target="https://www.youtube.com/watch?v=9xTP9MVWbGE" TargetMode="External"/><Relationship Id="rId119" Type="http://schemas.openxmlformats.org/officeDocument/2006/relationships/hyperlink" Target="https://www.youtube.com/watch?v=WDyYUFlH7h0" TargetMode="External"/><Relationship Id="rId110" Type="http://schemas.openxmlformats.org/officeDocument/2006/relationships/hyperlink" Target="https://www.youtube.com/watch?v=AZ2TUVwJ3SI" TargetMode="External"/><Relationship Id="rId231" Type="http://schemas.openxmlformats.org/officeDocument/2006/relationships/hyperlink" Target="https://www.youtube.com/watch?v=VZetRbxoxZs" TargetMode="External"/><Relationship Id="rId230" Type="http://schemas.openxmlformats.org/officeDocument/2006/relationships/hyperlink" Target="https://www.youtube.com/watch?v=G_Q0uRupqjc" TargetMode="External"/><Relationship Id="rId114" Type="http://schemas.openxmlformats.org/officeDocument/2006/relationships/hyperlink" Target="https://www.youtube.com/watch?v=khqKm_9AVp4" TargetMode="External"/><Relationship Id="rId235" Type="http://schemas.openxmlformats.org/officeDocument/2006/relationships/hyperlink" Target="https://www.youtube.com/watch?v=IklWCPknjtY" TargetMode="External"/><Relationship Id="rId113" Type="http://schemas.openxmlformats.org/officeDocument/2006/relationships/hyperlink" Target="https://www.youtube.com/watch?v=Kkys1Vy1Ih0" TargetMode="External"/><Relationship Id="rId234" Type="http://schemas.openxmlformats.org/officeDocument/2006/relationships/hyperlink" Target="https://www.youtube.com/watch?v=cczNgxUMmfs" TargetMode="External"/><Relationship Id="rId112" Type="http://schemas.openxmlformats.org/officeDocument/2006/relationships/hyperlink" Target="https://www.youtube.com/watch?v=kZ5BIutZYfA" TargetMode="External"/><Relationship Id="rId233" Type="http://schemas.openxmlformats.org/officeDocument/2006/relationships/hyperlink" Target="https://www.youtube.com/watch?v=Ekm8GgWG88Y" TargetMode="External"/><Relationship Id="rId111" Type="http://schemas.openxmlformats.org/officeDocument/2006/relationships/hyperlink" Target="https://www.youtube.com/watch?v=GOSTtTgOCu8" TargetMode="External"/><Relationship Id="rId232" Type="http://schemas.openxmlformats.org/officeDocument/2006/relationships/hyperlink" Target="https://www.youtube.com/watch?v=5HRWs-SASCg" TargetMode="External"/><Relationship Id="rId206" Type="http://schemas.openxmlformats.org/officeDocument/2006/relationships/hyperlink" Target="https://www.youtube.com/watch?v=JyUD8IxjaMc" TargetMode="External"/><Relationship Id="rId205" Type="http://schemas.openxmlformats.org/officeDocument/2006/relationships/hyperlink" Target="https://www.youtube.com/watch?v=UdbJ9vRuhK0" TargetMode="External"/><Relationship Id="rId204" Type="http://schemas.openxmlformats.org/officeDocument/2006/relationships/hyperlink" Target="https://www.youtube.com/watch?v=aVBHkoyVy88" TargetMode="External"/><Relationship Id="rId203" Type="http://schemas.openxmlformats.org/officeDocument/2006/relationships/hyperlink" Target="https://www.youtube.com/watch?v=1_gRIDSgv8Y" TargetMode="External"/><Relationship Id="rId209" Type="http://schemas.openxmlformats.org/officeDocument/2006/relationships/hyperlink" Target="https://www.youtube.com/watch?v=QUJFdcgeTiM" TargetMode="External"/><Relationship Id="rId208" Type="http://schemas.openxmlformats.org/officeDocument/2006/relationships/hyperlink" Target="https://www.youtube.com/watch?v=3T2N9s28DwM" TargetMode="External"/><Relationship Id="rId207" Type="http://schemas.openxmlformats.org/officeDocument/2006/relationships/hyperlink" Target="https://www.youtube.com/watch?v=xT3o7Bv2KNc" TargetMode="External"/><Relationship Id="rId202" Type="http://schemas.openxmlformats.org/officeDocument/2006/relationships/hyperlink" Target="https://www.youtube.com/watch?v=3TVgr5O1OVE" TargetMode="External"/><Relationship Id="rId201" Type="http://schemas.openxmlformats.org/officeDocument/2006/relationships/hyperlink" Target="https://www.youtube.com/watch?v=wXcsPd61Cp4" TargetMode="External"/><Relationship Id="rId200" Type="http://schemas.openxmlformats.org/officeDocument/2006/relationships/hyperlink" Target="https://www.youtube.com/watch?v=fl9cdgp9HWc" TargetMode="External"/></Relationships>
</file>

<file path=xl/worksheets/_rels/sheet6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youtube.com/watch?v=QHhkB1n5aao" TargetMode="External"/><Relationship Id="rId190" Type="http://schemas.openxmlformats.org/officeDocument/2006/relationships/drawing" Target="../drawings/drawing6.xml"/><Relationship Id="rId42" Type="http://schemas.openxmlformats.org/officeDocument/2006/relationships/hyperlink" Target="https://www.youtube.com/watch?v=ReCbDVCGsfo" TargetMode="External"/><Relationship Id="rId41" Type="http://schemas.openxmlformats.org/officeDocument/2006/relationships/hyperlink" Target="https://www.youtube.com/watch?v=x6bS7-0FJpg" TargetMode="External"/><Relationship Id="rId44" Type="http://schemas.openxmlformats.org/officeDocument/2006/relationships/hyperlink" Target="https://www.youtube.com/watch?v=zaZ3dVK_sqs" TargetMode="External"/><Relationship Id="rId43" Type="http://schemas.openxmlformats.org/officeDocument/2006/relationships/hyperlink" Target="https://www.youtube.com/watch?v=v-N7Lr06ugg" TargetMode="External"/><Relationship Id="rId46" Type="http://schemas.openxmlformats.org/officeDocument/2006/relationships/hyperlink" Target="https://www.youtube.com/watch?v=cOUA_FR62Vc" TargetMode="External"/><Relationship Id="rId45" Type="http://schemas.openxmlformats.org/officeDocument/2006/relationships/hyperlink" Target="https://www.youtube.com/watch?v=RMiYzOKJJE4" TargetMode="External"/><Relationship Id="rId48" Type="http://schemas.openxmlformats.org/officeDocument/2006/relationships/hyperlink" Target="https://www.youtube.com/watch?v=RWfkExY3C0Q" TargetMode="External"/><Relationship Id="rId187" Type="http://schemas.openxmlformats.org/officeDocument/2006/relationships/hyperlink" Target="https://www.youtube.com/watch?v=xi4iVXZzdAs" TargetMode="External"/><Relationship Id="rId47" Type="http://schemas.openxmlformats.org/officeDocument/2006/relationships/hyperlink" Target="https://www.youtube.com/watch?v=cS6qcnVR1Yw" TargetMode="External"/><Relationship Id="rId186" Type="http://schemas.openxmlformats.org/officeDocument/2006/relationships/hyperlink" Target="https://www.youtube.com/watch?v=_uCtkSMyfFc" TargetMode="External"/><Relationship Id="rId185" Type="http://schemas.openxmlformats.org/officeDocument/2006/relationships/hyperlink" Target="https://www.youtube.com/watch?v=Ovixeic5PZk" TargetMode="External"/><Relationship Id="rId49" Type="http://schemas.openxmlformats.org/officeDocument/2006/relationships/hyperlink" Target="https://www.youtube.com/watch?v=52dD6jcJNIs" TargetMode="External"/><Relationship Id="rId184" Type="http://schemas.openxmlformats.org/officeDocument/2006/relationships/hyperlink" Target="https://www.youtube.com/watch?v=g3UEpww2BaM" TargetMode="External"/><Relationship Id="rId189" Type="http://schemas.openxmlformats.org/officeDocument/2006/relationships/hyperlink" Target="https://www.youtube.com/watch?v=ldROre9HX4c" TargetMode="External"/><Relationship Id="rId188" Type="http://schemas.openxmlformats.org/officeDocument/2006/relationships/hyperlink" Target="https://www.youtube.com/watch?v=nfn1cNofhnQ" TargetMode="External"/><Relationship Id="rId31" Type="http://schemas.openxmlformats.org/officeDocument/2006/relationships/hyperlink" Target="https://www.youtube.com/watch?v=_r6zQCR1DiY" TargetMode="External"/><Relationship Id="rId30" Type="http://schemas.openxmlformats.org/officeDocument/2006/relationships/hyperlink" Target="https://www.youtube.com/watch?v=olTjgc4eA2I" TargetMode="External"/><Relationship Id="rId33" Type="http://schemas.openxmlformats.org/officeDocument/2006/relationships/hyperlink" Target="https://www.youtube.com/watch?v=-QqGcDIUBPc" TargetMode="External"/><Relationship Id="rId183" Type="http://schemas.openxmlformats.org/officeDocument/2006/relationships/hyperlink" Target="https://www.youtube.com/watch?v=YTbeJ0NfWCY" TargetMode="External"/><Relationship Id="rId32" Type="http://schemas.openxmlformats.org/officeDocument/2006/relationships/hyperlink" Target="https://www.youtube.com/watch?v=w-3253LjVxU" TargetMode="External"/><Relationship Id="rId182" Type="http://schemas.openxmlformats.org/officeDocument/2006/relationships/hyperlink" Target="https://www.youtube.com/watch?v=s7p6my4emXg" TargetMode="External"/><Relationship Id="rId35" Type="http://schemas.openxmlformats.org/officeDocument/2006/relationships/hyperlink" Target="https://www.youtube.com/watch?v=nbAFmQTIgsQ" TargetMode="External"/><Relationship Id="rId181" Type="http://schemas.openxmlformats.org/officeDocument/2006/relationships/hyperlink" Target="https://www.youtube.com/watch?v=F7rXPOwS9fM" TargetMode="External"/><Relationship Id="rId34" Type="http://schemas.openxmlformats.org/officeDocument/2006/relationships/hyperlink" Target="https://www.youtube.com/watch?v=evMvvkjcWpM" TargetMode="External"/><Relationship Id="rId180" Type="http://schemas.openxmlformats.org/officeDocument/2006/relationships/hyperlink" Target="https://www.youtube.com/watch?v=lzC732TLOqM" TargetMode="External"/><Relationship Id="rId37" Type="http://schemas.openxmlformats.org/officeDocument/2006/relationships/hyperlink" Target="https://www.youtube.com/watch?v=MAF0ZO1LMOQ" TargetMode="External"/><Relationship Id="rId176" Type="http://schemas.openxmlformats.org/officeDocument/2006/relationships/hyperlink" Target="https://www.youtube.com/watch?v=IEX5jioEEZE" TargetMode="External"/><Relationship Id="rId36" Type="http://schemas.openxmlformats.org/officeDocument/2006/relationships/hyperlink" Target="https://www.youtube.com/watch?v=OUdGlv8r3fE" TargetMode="External"/><Relationship Id="rId175" Type="http://schemas.openxmlformats.org/officeDocument/2006/relationships/hyperlink" Target="https://www.youtube.com/watch?v=4GEIR2zomVc" TargetMode="External"/><Relationship Id="rId39" Type="http://schemas.openxmlformats.org/officeDocument/2006/relationships/hyperlink" Target="https://www.youtube.com/watch?v=oajxnJL16S4" TargetMode="External"/><Relationship Id="rId174" Type="http://schemas.openxmlformats.org/officeDocument/2006/relationships/hyperlink" Target="https://www.youtube.com/watch?v=8NbNYHUohH4" TargetMode="External"/><Relationship Id="rId38" Type="http://schemas.openxmlformats.org/officeDocument/2006/relationships/hyperlink" Target="https://www.youtube.com/watch?v=n2WIrPyXEEo" TargetMode="External"/><Relationship Id="rId173" Type="http://schemas.openxmlformats.org/officeDocument/2006/relationships/hyperlink" Target="https://www.youtube.com/watch?v=YFl0HzHyhdM" TargetMode="External"/><Relationship Id="rId179" Type="http://schemas.openxmlformats.org/officeDocument/2006/relationships/hyperlink" Target="https://www.youtube.com/watch?v=IEycJdudd6I" TargetMode="External"/><Relationship Id="rId178" Type="http://schemas.openxmlformats.org/officeDocument/2006/relationships/hyperlink" Target="https://www.youtube.com/watch?v=MquuxBa7S_I" TargetMode="External"/><Relationship Id="rId177" Type="http://schemas.openxmlformats.org/officeDocument/2006/relationships/hyperlink" Target="https://www.youtube.com/watch?v=nc864mdbFHY" TargetMode="External"/><Relationship Id="rId20" Type="http://schemas.openxmlformats.org/officeDocument/2006/relationships/hyperlink" Target="https://www.youtube.com/watch?v=ZjcsH_58gwg" TargetMode="External"/><Relationship Id="rId22" Type="http://schemas.openxmlformats.org/officeDocument/2006/relationships/hyperlink" Target="https://www.youtube.com/watch?v=znGe8WmjBwU" TargetMode="External"/><Relationship Id="rId21" Type="http://schemas.openxmlformats.org/officeDocument/2006/relationships/hyperlink" Target="https://www.youtube.com/watch?v=0auqbMB1dcI" TargetMode="External"/><Relationship Id="rId24" Type="http://schemas.openxmlformats.org/officeDocument/2006/relationships/hyperlink" Target="https://www.youtube.com/watch?v=TzZVroscDYE" TargetMode="External"/><Relationship Id="rId23" Type="http://schemas.openxmlformats.org/officeDocument/2006/relationships/hyperlink" Target="https://www.youtube.com/watch?v=6ra4vz0gT3M" TargetMode="External"/><Relationship Id="rId26" Type="http://schemas.openxmlformats.org/officeDocument/2006/relationships/hyperlink" Target="https://www.youtube.com/watch?v=GF__Z6E-iJU" TargetMode="External"/><Relationship Id="rId25" Type="http://schemas.openxmlformats.org/officeDocument/2006/relationships/hyperlink" Target="https://www.youtube.com/watch?v=qs7NXqA7WfA" TargetMode="External"/><Relationship Id="rId28" Type="http://schemas.openxmlformats.org/officeDocument/2006/relationships/hyperlink" Target="https://www.youtube.com/watch?v=O1ZDd0EyCtM" TargetMode="External"/><Relationship Id="rId27" Type="http://schemas.openxmlformats.org/officeDocument/2006/relationships/hyperlink" Target="https://www.youtube.com/watch?v=u8zqyzPGJxY" TargetMode="External"/><Relationship Id="rId29" Type="http://schemas.openxmlformats.org/officeDocument/2006/relationships/hyperlink" Target="https://www.youtube.com/watch?v=PU8x2fpSrWw" TargetMode="External"/><Relationship Id="rId11" Type="http://schemas.openxmlformats.org/officeDocument/2006/relationships/hyperlink" Target="https://www.youtube.com/watch?v=TyYgKTb0dNM" TargetMode="External"/><Relationship Id="rId10" Type="http://schemas.openxmlformats.org/officeDocument/2006/relationships/hyperlink" Target="https://www.youtube.com/watch?v=ZujI2IniiN0" TargetMode="External"/><Relationship Id="rId13" Type="http://schemas.openxmlformats.org/officeDocument/2006/relationships/hyperlink" Target="https://www.youtube.com/watch?v=K4fHwfzsxpw" TargetMode="External"/><Relationship Id="rId12" Type="http://schemas.openxmlformats.org/officeDocument/2006/relationships/hyperlink" Target="https://www.youtube.com/watch?v=fZi6DJYiGiQ" TargetMode="External"/><Relationship Id="rId15" Type="http://schemas.openxmlformats.org/officeDocument/2006/relationships/hyperlink" Target="https://www.youtube.com/watch?v=lkTJT7Dp62w" TargetMode="External"/><Relationship Id="rId14" Type="http://schemas.openxmlformats.org/officeDocument/2006/relationships/hyperlink" Target="https://www.youtube.com/watch?v=INX0j-0u6bg" TargetMode="External"/><Relationship Id="rId17" Type="http://schemas.openxmlformats.org/officeDocument/2006/relationships/hyperlink" Target="https://www.youtube.com/watch?v=Z1-2yy_3zYg" TargetMode="External"/><Relationship Id="rId16" Type="http://schemas.openxmlformats.org/officeDocument/2006/relationships/hyperlink" Target="https://www.youtube.com/watch?v=Tw8Eg7dodls" TargetMode="External"/><Relationship Id="rId19" Type="http://schemas.openxmlformats.org/officeDocument/2006/relationships/hyperlink" Target="https://www.youtube.com/watch?v=TeOfxyuxYVY" TargetMode="External"/><Relationship Id="rId18" Type="http://schemas.openxmlformats.org/officeDocument/2006/relationships/hyperlink" Target="https://www.youtube.com/watch?v=keDgeHgmqf0" TargetMode="External"/><Relationship Id="rId84" Type="http://schemas.openxmlformats.org/officeDocument/2006/relationships/hyperlink" Target="https://www.youtube.com/watch?v=qj_iDfo1Vv0" TargetMode="External"/><Relationship Id="rId83" Type="http://schemas.openxmlformats.org/officeDocument/2006/relationships/hyperlink" Target="https://www.youtube.com/watch?v=eFZ-FpuegXw" TargetMode="External"/><Relationship Id="rId86" Type="http://schemas.openxmlformats.org/officeDocument/2006/relationships/hyperlink" Target="https://www.youtube.com/watch?v=WBOiWzwH19s" TargetMode="External"/><Relationship Id="rId85" Type="http://schemas.openxmlformats.org/officeDocument/2006/relationships/hyperlink" Target="https://www.youtube.com/watch?v=8Dv6-N_ha-8" TargetMode="External"/><Relationship Id="rId88" Type="http://schemas.openxmlformats.org/officeDocument/2006/relationships/hyperlink" Target="https://www.youtube.com/watch?v=P2MsWqHVN6E" TargetMode="External"/><Relationship Id="rId150" Type="http://schemas.openxmlformats.org/officeDocument/2006/relationships/hyperlink" Target="https://www.youtube.com/watch?v=R5LQt1PMw9Q" TargetMode="External"/><Relationship Id="rId87" Type="http://schemas.openxmlformats.org/officeDocument/2006/relationships/hyperlink" Target="https://www.youtube.com/watch?v=ngNAVB_IwEk" TargetMode="External"/><Relationship Id="rId89" Type="http://schemas.openxmlformats.org/officeDocument/2006/relationships/hyperlink" Target="https://www.youtube.com/watch?v=yWDJDshvm8c" TargetMode="External"/><Relationship Id="rId80" Type="http://schemas.openxmlformats.org/officeDocument/2006/relationships/hyperlink" Target="https://www.youtube.com/watch?v=E8miYFpgvO0" TargetMode="External"/><Relationship Id="rId82" Type="http://schemas.openxmlformats.org/officeDocument/2006/relationships/hyperlink" Target="https://www.youtube.com/watch?v=640HQH2I4tc" TargetMode="External"/><Relationship Id="rId81" Type="http://schemas.openxmlformats.org/officeDocument/2006/relationships/hyperlink" Target="https://www.youtube.com/watch?v=vAVHPZjtpLw" TargetMode="External"/><Relationship Id="rId1" Type="http://schemas.openxmlformats.org/officeDocument/2006/relationships/hyperlink" Target="https://www.youtube.com/watch?v=rv2vywq_pog" TargetMode="External"/><Relationship Id="rId2" Type="http://schemas.openxmlformats.org/officeDocument/2006/relationships/hyperlink" Target="https://www.youtube.com/watch?v=gOJh0e3PtIw" TargetMode="External"/><Relationship Id="rId3" Type="http://schemas.openxmlformats.org/officeDocument/2006/relationships/hyperlink" Target="https://www.youtube.com/watch?v=_L42u47v41c" TargetMode="External"/><Relationship Id="rId149" Type="http://schemas.openxmlformats.org/officeDocument/2006/relationships/hyperlink" Target="https://www.youtube.com/watch?v=hxWakV6kln8" TargetMode="External"/><Relationship Id="rId4" Type="http://schemas.openxmlformats.org/officeDocument/2006/relationships/hyperlink" Target="https://www.youtube.com/watch?v=mDnkrxDQYMs" TargetMode="External"/><Relationship Id="rId148" Type="http://schemas.openxmlformats.org/officeDocument/2006/relationships/hyperlink" Target="https://www.youtube.com/watch?v=3JZYjKLcJ8Y" TargetMode="External"/><Relationship Id="rId9" Type="http://schemas.openxmlformats.org/officeDocument/2006/relationships/hyperlink" Target="https://www.youtube.com/watch?v=bJjp2TzrmwQ" TargetMode="External"/><Relationship Id="rId143" Type="http://schemas.openxmlformats.org/officeDocument/2006/relationships/hyperlink" Target="https://www.youtube.com/watch?v=wo9LphLVx80" TargetMode="External"/><Relationship Id="rId142" Type="http://schemas.openxmlformats.org/officeDocument/2006/relationships/hyperlink" Target="https://www.youtube.com/watch?v=8nsYtuvcCxM" TargetMode="External"/><Relationship Id="rId141" Type="http://schemas.openxmlformats.org/officeDocument/2006/relationships/hyperlink" Target="https://www.youtube.com/watch?v=S3xA65MAXsk" TargetMode="External"/><Relationship Id="rId140" Type="http://schemas.openxmlformats.org/officeDocument/2006/relationships/hyperlink" Target="https://www.youtube.com/watch?v=mSakSVy3r5M" TargetMode="External"/><Relationship Id="rId5" Type="http://schemas.openxmlformats.org/officeDocument/2006/relationships/hyperlink" Target="https://www.youtube.com/watch?v=K-cJn-h39sU" TargetMode="External"/><Relationship Id="rId147" Type="http://schemas.openxmlformats.org/officeDocument/2006/relationships/hyperlink" Target="https://www.youtube.com/watch?v=5LpY4YQCQuk" TargetMode="External"/><Relationship Id="rId6" Type="http://schemas.openxmlformats.org/officeDocument/2006/relationships/hyperlink" Target="https://www.youtube.com/watch?v=1H6UC9E4qyk" TargetMode="External"/><Relationship Id="rId146" Type="http://schemas.openxmlformats.org/officeDocument/2006/relationships/hyperlink" Target="https://www.youtube.com/watch?v=0YLrwJux0yU" TargetMode="External"/><Relationship Id="rId7" Type="http://schemas.openxmlformats.org/officeDocument/2006/relationships/hyperlink" Target="https://www.youtube.com/watch?v=gyCk0GBlJOk" TargetMode="External"/><Relationship Id="rId145" Type="http://schemas.openxmlformats.org/officeDocument/2006/relationships/hyperlink" Target="https://www.youtube.com/watch?v=hD0OZYIAcVo" TargetMode="External"/><Relationship Id="rId8" Type="http://schemas.openxmlformats.org/officeDocument/2006/relationships/hyperlink" Target="https://www.youtube.com/watch?v=4o-kqxKPLyY" TargetMode="External"/><Relationship Id="rId144" Type="http://schemas.openxmlformats.org/officeDocument/2006/relationships/hyperlink" Target="https://www.youtube.com/watch?v=ueAYbBr4kho" TargetMode="External"/><Relationship Id="rId73" Type="http://schemas.openxmlformats.org/officeDocument/2006/relationships/hyperlink" Target="https://www.youtube.com/watch?v=i3KwvhVmylc" TargetMode="External"/><Relationship Id="rId72" Type="http://schemas.openxmlformats.org/officeDocument/2006/relationships/hyperlink" Target="https://www.youtube.com/watch?v=vzru-LHZCTY" TargetMode="External"/><Relationship Id="rId75" Type="http://schemas.openxmlformats.org/officeDocument/2006/relationships/hyperlink" Target="https://www.youtube.com/watch?v=I0zigvirkiw" TargetMode="External"/><Relationship Id="rId74" Type="http://schemas.openxmlformats.org/officeDocument/2006/relationships/hyperlink" Target="https://www.youtube.com/watch?v=GPTdmLw_Qow" TargetMode="External"/><Relationship Id="rId77" Type="http://schemas.openxmlformats.org/officeDocument/2006/relationships/hyperlink" Target="https://www.youtube.com/watch?v=Rg73FcP-D_I" TargetMode="External"/><Relationship Id="rId76" Type="http://schemas.openxmlformats.org/officeDocument/2006/relationships/hyperlink" Target="https://www.youtube.com/watch?v=tmJSORrNdeo" TargetMode="External"/><Relationship Id="rId79" Type="http://schemas.openxmlformats.org/officeDocument/2006/relationships/hyperlink" Target="https://www.youtube.com/watch?v=Eq_VZljbtXk" TargetMode="External"/><Relationship Id="rId78" Type="http://schemas.openxmlformats.org/officeDocument/2006/relationships/hyperlink" Target="https://www.youtube.com/watch?v=PU8xi_CBP30" TargetMode="External"/><Relationship Id="rId71" Type="http://schemas.openxmlformats.org/officeDocument/2006/relationships/hyperlink" Target="https://www.youtube.com/watch?v=MR2FCVXSBpk" TargetMode="External"/><Relationship Id="rId70" Type="http://schemas.openxmlformats.org/officeDocument/2006/relationships/hyperlink" Target="https://www.youtube.com/watch?v=7BkoMG1lf9Y" TargetMode="External"/><Relationship Id="rId139" Type="http://schemas.openxmlformats.org/officeDocument/2006/relationships/hyperlink" Target="https://www.youtube.com/watch?v=SDmrK8bwyu4" TargetMode="External"/><Relationship Id="rId138" Type="http://schemas.openxmlformats.org/officeDocument/2006/relationships/hyperlink" Target="https://www.youtube.com/watch?v=ZdsHzf-DR8M" TargetMode="External"/><Relationship Id="rId137" Type="http://schemas.openxmlformats.org/officeDocument/2006/relationships/hyperlink" Target="https://www.youtube.com/watch?v=_VzaGgLOOWg" TargetMode="External"/><Relationship Id="rId132" Type="http://schemas.openxmlformats.org/officeDocument/2006/relationships/hyperlink" Target="https://www.youtube.com/watch?v=zAzeTqZG-hM" TargetMode="External"/><Relationship Id="rId131" Type="http://schemas.openxmlformats.org/officeDocument/2006/relationships/hyperlink" Target="https://www.youtube.com/watch?v=IlEB76XIVb0" TargetMode="External"/><Relationship Id="rId130" Type="http://schemas.openxmlformats.org/officeDocument/2006/relationships/hyperlink" Target="https://www.youtube.com/watch?v=hippV6OykIM" TargetMode="External"/><Relationship Id="rId136" Type="http://schemas.openxmlformats.org/officeDocument/2006/relationships/hyperlink" Target="https://www.youtube.com/watch?v=RiRfO5OoSiA" TargetMode="External"/><Relationship Id="rId135" Type="http://schemas.openxmlformats.org/officeDocument/2006/relationships/hyperlink" Target="https://www.youtube.com/watch?v=g_XfhJID8Z4" TargetMode="External"/><Relationship Id="rId134" Type="http://schemas.openxmlformats.org/officeDocument/2006/relationships/hyperlink" Target="https://www.youtube.com/watch?v=HuXzvCSavi8" TargetMode="External"/><Relationship Id="rId133" Type="http://schemas.openxmlformats.org/officeDocument/2006/relationships/hyperlink" Target="https://www.youtube.com/watch?v=pNirV7Zga_M" TargetMode="External"/><Relationship Id="rId62" Type="http://schemas.openxmlformats.org/officeDocument/2006/relationships/hyperlink" Target="https://www.youtube.com/watch?v=NWZYOlQwPi4" TargetMode="External"/><Relationship Id="rId61" Type="http://schemas.openxmlformats.org/officeDocument/2006/relationships/hyperlink" Target="https://www.youtube.com/watch?v=p8y9t-nXRbk" TargetMode="External"/><Relationship Id="rId64" Type="http://schemas.openxmlformats.org/officeDocument/2006/relationships/hyperlink" Target="https://www.youtube.com/watch?v=oICNOFQ8wkc" TargetMode="External"/><Relationship Id="rId63" Type="http://schemas.openxmlformats.org/officeDocument/2006/relationships/hyperlink" Target="https://www.youtube.com/watch?v=LMa5XMDeV-c" TargetMode="External"/><Relationship Id="rId66" Type="http://schemas.openxmlformats.org/officeDocument/2006/relationships/hyperlink" Target="https://www.youtube.com/watch?v=_VgzLvdsCgA" TargetMode="External"/><Relationship Id="rId172" Type="http://schemas.openxmlformats.org/officeDocument/2006/relationships/hyperlink" Target="https://www.youtube.com/watch?v=amotKzh2vAo" TargetMode="External"/><Relationship Id="rId65" Type="http://schemas.openxmlformats.org/officeDocument/2006/relationships/hyperlink" Target="https://www.youtube.com/watch?v=s_ttDDwqMoc" TargetMode="External"/><Relationship Id="rId171" Type="http://schemas.openxmlformats.org/officeDocument/2006/relationships/hyperlink" Target="https://www.youtube.com/watch?v=LtLJ9TEGPXw" TargetMode="External"/><Relationship Id="rId68" Type="http://schemas.openxmlformats.org/officeDocument/2006/relationships/hyperlink" Target="https://www.youtube.com/watch?v=Xp8YH0O5kvQ" TargetMode="External"/><Relationship Id="rId170" Type="http://schemas.openxmlformats.org/officeDocument/2006/relationships/hyperlink" Target="https://www.youtube.com/watch?v=oRTCB0ETG0c" TargetMode="External"/><Relationship Id="rId67" Type="http://schemas.openxmlformats.org/officeDocument/2006/relationships/hyperlink" Target="https://www.youtube.com/watch?v=YbApgZlWY2g" TargetMode="External"/><Relationship Id="rId60" Type="http://schemas.openxmlformats.org/officeDocument/2006/relationships/hyperlink" Target="https://www.youtube.com/watch?v=XNabLiCIgnc" TargetMode="External"/><Relationship Id="rId165" Type="http://schemas.openxmlformats.org/officeDocument/2006/relationships/hyperlink" Target="https://www.youtube.com/watch?v=V4FL878Gd6U" TargetMode="External"/><Relationship Id="rId69" Type="http://schemas.openxmlformats.org/officeDocument/2006/relationships/hyperlink" Target="https://www.youtube.com/watch?v=9Rm5s7klKVA" TargetMode="External"/><Relationship Id="rId164" Type="http://schemas.openxmlformats.org/officeDocument/2006/relationships/hyperlink" Target="https://www.youtube.com/watch?v=j44iOqH8xJ8" TargetMode="External"/><Relationship Id="rId163" Type="http://schemas.openxmlformats.org/officeDocument/2006/relationships/hyperlink" Target="https://www.youtube.com/watch?v=W1y1AOkwMbU" TargetMode="External"/><Relationship Id="rId162" Type="http://schemas.openxmlformats.org/officeDocument/2006/relationships/hyperlink" Target="https://www.youtube.com/watch?v=yFzRiQpEnU0" TargetMode="External"/><Relationship Id="rId169" Type="http://schemas.openxmlformats.org/officeDocument/2006/relationships/hyperlink" Target="https://www.youtube.com/watch?v=zNLmTn5sIi0" TargetMode="External"/><Relationship Id="rId168" Type="http://schemas.openxmlformats.org/officeDocument/2006/relationships/hyperlink" Target="https://www.youtube.com/watch?v=K9IgmnytVp0" TargetMode="External"/><Relationship Id="rId167" Type="http://schemas.openxmlformats.org/officeDocument/2006/relationships/hyperlink" Target="https://www.youtube.com/watch?v=kLBZ5uYo6W0" TargetMode="External"/><Relationship Id="rId166" Type="http://schemas.openxmlformats.org/officeDocument/2006/relationships/hyperlink" Target="https://www.youtube.com/watch?v=6pHJ7FHskpM" TargetMode="External"/><Relationship Id="rId51" Type="http://schemas.openxmlformats.org/officeDocument/2006/relationships/hyperlink" Target="https://www.youtube.com/watch?v=_8J29bxIdlY" TargetMode="External"/><Relationship Id="rId50" Type="http://schemas.openxmlformats.org/officeDocument/2006/relationships/hyperlink" Target="https://www.youtube.com/watch?v=EKE8GNpL7Hc" TargetMode="External"/><Relationship Id="rId53" Type="http://schemas.openxmlformats.org/officeDocument/2006/relationships/hyperlink" Target="https://www.youtube.com/watch?v=rfKWA5kS_1A" TargetMode="External"/><Relationship Id="rId52" Type="http://schemas.openxmlformats.org/officeDocument/2006/relationships/hyperlink" Target="https://www.youtube.com/watch?v=PzoItwhHr4c" TargetMode="External"/><Relationship Id="rId55" Type="http://schemas.openxmlformats.org/officeDocument/2006/relationships/hyperlink" Target="https://www.youtube.com/watch?v=gr2hdrCPDow" TargetMode="External"/><Relationship Id="rId161" Type="http://schemas.openxmlformats.org/officeDocument/2006/relationships/hyperlink" Target="https://www.youtube.com/watch?v=Uv-2iYx2_0c" TargetMode="External"/><Relationship Id="rId54" Type="http://schemas.openxmlformats.org/officeDocument/2006/relationships/hyperlink" Target="https://www.youtube.com/watch?v=L6FjKULGB9w" TargetMode="External"/><Relationship Id="rId160" Type="http://schemas.openxmlformats.org/officeDocument/2006/relationships/hyperlink" Target="https://www.youtube.com/watch?v=TIvwfw_YJlw" TargetMode="External"/><Relationship Id="rId57" Type="http://schemas.openxmlformats.org/officeDocument/2006/relationships/hyperlink" Target="https://www.youtube.com/watch?v=bzmCi6nCd18" TargetMode="External"/><Relationship Id="rId56" Type="http://schemas.openxmlformats.org/officeDocument/2006/relationships/hyperlink" Target="https://www.youtube.com/watch?v=Vq6YKEMRTeQ" TargetMode="External"/><Relationship Id="rId159" Type="http://schemas.openxmlformats.org/officeDocument/2006/relationships/hyperlink" Target="https://www.youtube.com/watch?v=34PYxoqAgcM" TargetMode="External"/><Relationship Id="rId59" Type="http://schemas.openxmlformats.org/officeDocument/2006/relationships/hyperlink" Target="https://www.youtube.com/watch?v=6XsBNhUYedQ" TargetMode="External"/><Relationship Id="rId154" Type="http://schemas.openxmlformats.org/officeDocument/2006/relationships/hyperlink" Target="https://www.youtube.com/watch?v=-8mDu0eDRkc" TargetMode="External"/><Relationship Id="rId58" Type="http://schemas.openxmlformats.org/officeDocument/2006/relationships/hyperlink" Target="https://www.youtube.com/watch?v=OaADCs5kldQ" TargetMode="External"/><Relationship Id="rId153" Type="http://schemas.openxmlformats.org/officeDocument/2006/relationships/hyperlink" Target="https://www.youtube.com/watch?v=VPxlsCI9Cao" TargetMode="External"/><Relationship Id="rId152" Type="http://schemas.openxmlformats.org/officeDocument/2006/relationships/hyperlink" Target="https://www.youtube.com/watch?v=mwl3tW8feqc" TargetMode="External"/><Relationship Id="rId151" Type="http://schemas.openxmlformats.org/officeDocument/2006/relationships/hyperlink" Target="https://www.youtube.com/watch?v=0aQhlqODDzU" TargetMode="External"/><Relationship Id="rId158" Type="http://schemas.openxmlformats.org/officeDocument/2006/relationships/hyperlink" Target="https://www.youtube.com/watch?v=guClcuVtkCE" TargetMode="External"/><Relationship Id="rId157" Type="http://schemas.openxmlformats.org/officeDocument/2006/relationships/hyperlink" Target="https://www.youtube.com/watch?v=TyqHVlLEd40" TargetMode="External"/><Relationship Id="rId156" Type="http://schemas.openxmlformats.org/officeDocument/2006/relationships/hyperlink" Target="https://www.youtube.com/watch?v=Fu3oxPXiNyc" TargetMode="External"/><Relationship Id="rId155" Type="http://schemas.openxmlformats.org/officeDocument/2006/relationships/hyperlink" Target="https://www.youtube.com/watch?v=zcvnMN2jPfY" TargetMode="External"/><Relationship Id="rId107" Type="http://schemas.openxmlformats.org/officeDocument/2006/relationships/hyperlink" Target="https://www.youtube.com/watch?v=8F-I-9qJAt4" TargetMode="External"/><Relationship Id="rId106" Type="http://schemas.openxmlformats.org/officeDocument/2006/relationships/hyperlink" Target="https://www.youtube.com/watch?v=SoUWHSRxs3E" TargetMode="External"/><Relationship Id="rId105" Type="http://schemas.openxmlformats.org/officeDocument/2006/relationships/hyperlink" Target="https://www.youtube.com/watch?v=qm_bHys6bK4" TargetMode="External"/><Relationship Id="rId104" Type="http://schemas.openxmlformats.org/officeDocument/2006/relationships/hyperlink" Target="https://www.youtube.com/watch?v=xas7_jOdGb0" TargetMode="External"/><Relationship Id="rId109" Type="http://schemas.openxmlformats.org/officeDocument/2006/relationships/hyperlink" Target="https://www.youtube.com/watch?v=bwudmZL2G18" TargetMode="External"/><Relationship Id="rId108" Type="http://schemas.openxmlformats.org/officeDocument/2006/relationships/hyperlink" Target="https://www.youtube.com/watch?v=f1S2H0gwcQM" TargetMode="External"/><Relationship Id="rId103" Type="http://schemas.openxmlformats.org/officeDocument/2006/relationships/hyperlink" Target="https://www.youtube.com/watch?v=gdgOee6Vj7w" TargetMode="External"/><Relationship Id="rId102" Type="http://schemas.openxmlformats.org/officeDocument/2006/relationships/hyperlink" Target="https://www.youtube.com/watch?v=fU_K-e-5sgY" TargetMode="External"/><Relationship Id="rId101" Type="http://schemas.openxmlformats.org/officeDocument/2006/relationships/hyperlink" Target="https://www.youtube.com/watch?v=gS7f05Qgf90" TargetMode="External"/><Relationship Id="rId100" Type="http://schemas.openxmlformats.org/officeDocument/2006/relationships/hyperlink" Target="https://www.youtube.com/watch?v=v9S7G4K42jI" TargetMode="External"/><Relationship Id="rId129" Type="http://schemas.openxmlformats.org/officeDocument/2006/relationships/hyperlink" Target="https://www.youtube.com/watch?v=poCfihTqst0" TargetMode="External"/><Relationship Id="rId128" Type="http://schemas.openxmlformats.org/officeDocument/2006/relationships/hyperlink" Target="https://www.youtube.com/watch?v=EnfBmiiq_1U" TargetMode="External"/><Relationship Id="rId127" Type="http://schemas.openxmlformats.org/officeDocument/2006/relationships/hyperlink" Target="https://www.youtube.com/watch?v=fpKrozpGyXo" TargetMode="External"/><Relationship Id="rId126" Type="http://schemas.openxmlformats.org/officeDocument/2006/relationships/hyperlink" Target="https://www.youtube.com/watch?v=BVoMRKifNRI" TargetMode="External"/><Relationship Id="rId121" Type="http://schemas.openxmlformats.org/officeDocument/2006/relationships/hyperlink" Target="https://www.youtube.com/watch?v=zJmeIH4G27s" TargetMode="External"/><Relationship Id="rId120" Type="http://schemas.openxmlformats.org/officeDocument/2006/relationships/hyperlink" Target="https://www.youtube.com/watch?v=bp8IPu-rPfc" TargetMode="External"/><Relationship Id="rId125" Type="http://schemas.openxmlformats.org/officeDocument/2006/relationships/hyperlink" Target="https://www.youtube.com/watch?v=FyFI9lFoup0" TargetMode="External"/><Relationship Id="rId124" Type="http://schemas.openxmlformats.org/officeDocument/2006/relationships/hyperlink" Target="https://www.youtube.com/watch?v=vbWCalq7Osg" TargetMode="External"/><Relationship Id="rId123" Type="http://schemas.openxmlformats.org/officeDocument/2006/relationships/hyperlink" Target="https://www.youtube.com/watch?v=mM2Qo_a6Rf0" TargetMode="External"/><Relationship Id="rId122" Type="http://schemas.openxmlformats.org/officeDocument/2006/relationships/hyperlink" Target="https://www.youtube.com/watch?v=tWczMRKS5ws" TargetMode="External"/><Relationship Id="rId95" Type="http://schemas.openxmlformats.org/officeDocument/2006/relationships/hyperlink" Target="https://www.youtube.com/watch?v=_qeHzPKxOqc" TargetMode="External"/><Relationship Id="rId94" Type="http://schemas.openxmlformats.org/officeDocument/2006/relationships/hyperlink" Target="https://www.youtube.com/watch?v=SKaLqF-hYaE" TargetMode="External"/><Relationship Id="rId97" Type="http://schemas.openxmlformats.org/officeDocument/2006/relationships/hyperlink" Target="https://www.youtube.com/watch?v=7FSWZiQgr-I" TargetMode="External"/><Relationship Id="rId96" Type="http://schemas.openxmlformats.org/officeDocument/2006/relationships/hyperlink" Target="https://www.youtube.com/watch?v=v2GreC-Ad4Q" TargetMode="External"/><Relationship Id="rId99" Type="http://schemas.openxmlformats.org/officeDocument/2006/relationships/hyperlink" Target="https://www.youtube.com/watch?v=oZ_9xfS4HuI" TargetMode="External"/><Relationship Id="rId98" Type="http://schemas.openxmlformats.org/officeDocument/2006/relationships/hyperlink" Target="https://www.youtube.com/watch?v=t4lD2sQdf1s" TargetMode="External"/><Relationship Id="rId91" Type="http://schemas.openxmlformats.org/officeDocument/2006/relationships/hyperlink" Target="https://www.youtube.com/watch?v=lBam9WYqgNw" TargetMode="External"/><Relationship Id="rId90" Type="http://schemas.openxmlformats.org/officeDocument/2006/relationships/hyperlink" Target="https://www.youtube.com/watch?v=P-XAOB9xYIQ" TargetMode="External"/><Relationship Id="rId93" Type="http://schemas.openxmlformats.org/officeDocument/2006/relationships/hyperlink" Target="https://www.youtube.com/watch?v=_qeHzPKxOqc" TargetMode="External"/><Relationship Id="rId92" Type="http://schemas.openxmlformats.org/officeDocument/2006/relationships/hyperlink" Target="https://www.youtube.com/watch?v=VwVwpuO9dEo" TargetMode="External"/><Relationship Id="rId118" Type="http://schemas.openxmlformats.org/officeDocument/2006/relationships/hyperlink" Target="https://www.youtube.com/watch?v=7yRHsSjIrRw" TargetMode="External"/><Relationship Id="rId117" Type="http://schemas.openxmlformats.org/officeDocument/2006/relationships/hyperlink" Target="https://www.youtube.com/watch?v=0KRJpyIapk0" TargetMode="External"/><Relationship Id="rId116" Type="http://schemas.openxmlformats.org/officeDocument/2006/relationships/hyperlink" Target="https://www.youtube.com/watch?v=C6J2s0p3tE8" TargetMode="External"/><Relationship Id="rId115" Type="http://schemas.openxmlformats.org/officeDocument/2006/relationships/hyperlink" Target="https://www.youtube.com/watch?v=4oCaHq9IE8E" TargetMode="External"/><Relationship Id="rId119" Type="http://schemas.openxmlformats.org/officeDocument/2006/relationships/hyperlink" Target="https://www.youtube.com/watch?v=Gnyp-bkO5t4" TargetMode="External"/><Relationship Id="rId110" Type="http://schemas.openxmlformats.org/officeDocument/2006/relationships/hyperlink" Target="https://www.youtube.com/watch?v=G4I31SeTg7k" TargetMode="External"/><Relationship Id="rId114" Type="http://schemas.openxmlformats.org/officeDocument/2006/relationships/hyperlink" Target="https://www.youtube.com/watch?v=uAwq1-bgQ9c" TargetMode="External"/><Relationship Id="rId113" Type="http://schemas.openxmlformats.org/officeDocument/2006/relationships/hyperlink" Target="https://www.youtube.com/watch?v=M6f2enaESA8" TargetMode="External"/><Relationship Id="rId112" Type="http://schemas.openxmlformats.org/officeDocument/2006/relationships/hyperlink" Target="https://www.youtube.com/watch?v=ZFLEos0PbgA" TargetMode="External"/><Relationship Id="rId111" Type="http://schemas.openxmlformats.org/officeDocument/2006/relationships/hyperlink" Target="https://www.youtube.com/watch?v=zHcC9W_LS3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1" defaultRowHeight="15.0"/>
  <cols>
    <col customWidth="1" min="1" max="1" width="19.5"/>
    <col customWidth="1" min="2" max="2" width="9.9"/>
    <col customWidth="1" min="3" max="22" width="17.4"/>
  </cols>
  <sheetData>
    <row r="1" ht="52.5" customHeight="1">
      <c r="A1" s="9" t="s">
        <v>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8"/>
    </row>
    <row r="2" ht="30.0" customHeight="1">
      <c r="A2" s="20" t="s">
        <v>2</v>
      </c>
      <c r="B2" s="22" t="s">
        <v>3</v>
      </c>
      <c r="C2" s="22" t="s">
        <v>4</v>
      </c>
      <c r="D2" s="22" t="s">
        <v>5</v>
      </c>
      <c r="E2" s="22" t="s">
        <v>6</v>
      </c>
      <c r="F2" s="22" t="s">
        <v>8</v>
      </c>
      <c r="G2" s="22" t="s">
        <v>9</v>
      </c>
      <c r="H2" s="22" t="s">
        <v>10</v>
      </c>
      <c r="I2" s="22" t="s">
        <v>11</v>
      </c>
      <c r="J2" s="22" t="s">
        <v>12</v>
      </c>
      <c r="K2" s="22" t="s">
        <v>13</v>
      </c>
      <c r="L2" s="22" t="s">
        <v>14</v>
      </c>
      <c r="M2" s="22" t="s">
        <v>15</v>
      </c>
      <c r="N2" s="22" t="s">
        <v>16</v>
      </c>
      <c r="O2" s="22" t="s">
        <v>17</v>
      </c>
      <c r="P2" s="22" t="s">
        <v>18</v>
      </c>
      <c r="Q2" s="22" t="s">
        <v>19</v>
      </c>
      <c r="R2" s="22" t="s">
        <v>20</v>
      </c>
      <c r="S2" s="22" t="s">
        <v>21</v>
      </c>
      <c r="T2" s="22" t="s">
        <v>22</v>
      </c>
      <c r="U2" s="22" t="s">
        <v>23</v>
      </c>
      <c r="V2" s="24" t="s">
        <v>24</v>
      </c>
    </row>
    <row r="3" ht="49.5" customHeight="1">
      <c r="A3" s="32" t="s">
        <v>29</v>
      </c>
      <c r="B3" s="33" t="s">
        <v>30</v>
      </c>
      <c r="C3" s="35" t="s">
        <v>44</v>
      </c>
      <c r="D3" s="35" t="s">
        <v>45</v>
      </c>
      <c r="E3" s="35" t="s">
        <v>46</v>
      </c>
      <c r="F3" s="35" t="s">
        <v>47</v>
      </c>
      <c r="G3" s="38" t="s">
        <v>48</v>
      </c>
      <c r="H3" s="38" t="s">
        <v>49</v>
      </c>
      <c r="I3" s="38" t="s">
        <v>50</v>
      </c>
      <c r="J3" s="38" t="s">
        <v>51</v>
      </c>
      <c r="K3" s="38" t="s">
        <v>52</v>
      </c>
      <c r="L3" s="38" t="s">
        <v>53</v>
      </c>
      <c r="M3" s="38" t="s">
        <v>54</v>
      </c>
      <c r="N3" s="41"/>
      <c r="O3" s="41"/>
      <c r="P3" s="41"/>
      <c r="Q3" s="43" t="s">
        <v>56</v>
      </c>
      <c r="R3" s="43" t="s">
        <v>56</v>
      </c>
      <c r="S3" s="41"/>
      <c r="T3" s="41"/>
      <c r="U3" s="41"/>
      <c r="V3" s="45"/>
    </row>
    <row r="4" ht="19.5" customHeight="1">
      <c r="A4" s="47"/>
      <c r="B4" s="51"/>
      <c r="C4" s="56" t="str">
        <f>HYPERLINK("https://www.youtube.com/watch?v=-0reYkaFuOM","คลิกที่นี่")</f>
        <v>คลิกที่นี่</v>
      </c>
      <c r="D4" s="59" t="s">
        <v>85</v>
      </c>
      <c r="E4" s="59" t="s">
        <v>97</v>
      </c>
      <c r="F4" s="59" t="s">
        <v>98</v>
      </c>
      <c r="G4" s="61" t="s">
        <v>99</v>
      </c>
      <c r="H4" s="61" t="s">
        <v>99</v>
      </c>
      <c r="I4" s="61" t="s">
        <v>99</v>
      </c>
      <c r="J4" s="61" t="s">
        <v>99</v>
      </c>
      <c r="K4" s="61" t="s">
        <v>99</v>
      </c>
      <c r="L4" s="61" t="s">
        <v>99</v>
      </c>
      <c r="M4" s="61" t="s">
        <v>99</v>
      </c>
      <c r="N4" s="63"/>
      <c r="O4" s="63"/>
      <c r="P4" s="63"/>
      <c r="Q4" s="65"/>
      <c r="R4" s="65"/>
      <c r="S4" s="63"/>
      <c r="T4" s="63"/>
      <c r="U4" s="63"/>
      <c r="V4" s="68"/>
    </row>
    <row r="5" ht="49.5" customHeight="1">
      <c r="A5" s="47"/>
      <c r="B5" s="72" t="s">
        <v>113</v>
      </c>
      <c r="C5" s="74"/>
      <c r="D5" s="76"/>
      <c r="E5" s="76"/>
      <c r="F5" s="76"/>
      <c r="G5" s="76"/>
      <c r="H5" s="76"/>
      <c r="I5" s="76"/>
      <c r="J5" s="76"/>
      <c r="K5" s="76" t="s">
        <v>132</v>
      </c>
      <c r="L5" s="76"/>
      <c r="M5" s="76"/>
      <c r="N5" s="76"/>
      <c r="O5" s="76"/>
      <c r="P5" s="76"/>
      <c r="Q5" s="76"/>
      <c r="R5" s="76"/>
      <c r="S5" s="76"/>
      <c r="T5" s="76"/>
      <c r="U5" s="76"/>
      <c r="V5" s="77"/>
    </row>
    <row r="6" ht="19.5" customHeight="1">
      <c r="A6" s="47"/>
      <c r="B6" s="79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2"/>
    </row>
    <row r="7" ht="63.75" customHeight="1">
      <c r="A7" s="47"/>
      <c r="B7" s="72" t="s">
        <v>140</v>
      </c>
      <c r="C7" s="84" t="s">
        <v>141</v>
      </c>
      <c r="D7" s="84" t="s">
        <v>143</v>
      </c>
      <c r="E7" s="84" t="s">
        <v>144</v>
      </c>
      <c r="F7" s="84" t="s">
        <v>145</v>
      </c>
      <c r="G7" s="86"/>
      <c r="H7" s="86"/>
      <c r="I7" s="88"/>
      <c r="J7" s="88"/>
      <c r="K7" s="86"/>
      <c r="L7" s="86"/>
      <c r="M7" s="88"/>
      <c r="N7" s="88"/>
      <c r="O7" s="88"/>
      <c r="P7" s="88"/>
      <c r="Q7" s="86"/>
      <c r="R7" s="86"/>
      <c r="S7" s="86"/>
      <c r="T7" s="86"/>
      <c r="U7" s="86"/>
      <c r="V7" s="90"/>
    </row>
    <row r="8" ht="19.5" customHeight="1">
      <c r="A8" s="47"/>
      <c r="B8" s="79"/>
      <c r="C8" s="61" t="s">
        <v>99</v>
      </c>
      <c r="D8" s="61" t="s">
        <v>99</v>
      </c>
      <c r="E8" s="61" t="s">
        <v>99</v>
      </c>
      <c r="F8" s="61" t="s">
        <v>99</v>
      </c>
      <c r="G8" s="80"/>
      <c r="H8" s="80"/>
      <c r="I8" s="92"/>
      <c r="J8" s="92"/>
      <c r="K8" s="80"/>
      <c r="L8" s="80"/>
      <c r="M8" s="92"/>
      <c r="N8" s="92"/>
      <c r="O8" s="92"/>
      <c r="P8" s="92"/>
      <c r="Q8" s="80"/>
      <c r="R8" s="80"/>
      <c r="S8" s="80"/>
      <c r="T8" s="80"/>
      <c r="U8" s="80"/>
      <c r="V8" s="82"/>
    </row>
    <row r="9" ht="71.25" customHeight="1">
      <c r="A9" s="47"/>
      <c r="B9" s="72" t="s">
        <v>159</v>
      </c>
      <c r="C9" s="84" t="s">
        <v>163</v>
      </c>
      <c r="D9" s="84" t="s">
        <v>164</v>
      </c>
      <c r="E9" s="84" t="s">
        <v>165</v>
      </c>
      <c r="F9" s="84" t="s">
        <v>166</v>
      </c>
      <c r="G9" s="86"/>
      <c r="H9" s="86"/>
      <c r="I9" s="86"/>
      <c r="J9" s="86"/>
      <c r="K9" s="86"/>
      <c r="L9" s="88"/>
      <c r="M9" s="86"/>
      <c r="N9" s="88"/>
      <c r="O9" s="88"/>
      <c r="P9" s="88"/>
      <c r="Q9" s="86"/>
      <c r="R9" s="86"/>
      <c r="S9" s="86"/>
      <c r="T9" s="86"/>
      <c r="U9" s="88"/>
      <c r="V9" s="95"/>
    </row>
    <row r="10" ht="19.5" customHeight="1">
      <c r="A10" s="47"/>
      <c r="B10" s="79"/>
      <c r="C10" s="96" t="s">
        <v>171</v>
      </c>
      <c r="D10" s="96" t="s">
        <v>172</v>
      </c>
      <c r="E10" s="96" t="s">
        <v>173</v>
      </c>
      <c r="F10" s="99" t="s">
        <v>174</v>
      </c>
      <c r="G10" s="80"/>
      <c r="H10" s="80"/>
      <c r="I10" s="80"/>
      <c r="J10" s="80"/>
      <c r="K10" s="80"/>
      <c r="L10" s="92"/>
      <c r="M10" s="80"/>
      <c r="N10" s="92"/>
      <c r="O10" s="92"/>
      <c r="P10" s="92"/>
      <c r="Q10" s="80"/>
      <c r="R10" s="80"/>
      <c r="S10" s="80"/>
      <c r="T10" s="80"/>
      <c r="U10" s="92"/>
      <c r="V10" s="100"/>
    </row>
    <row r="11" ht="64.5" customHeight="1">
      <c r="A11" s="47"/>
      <c r="B11" s="72" t="s">
        <v>175</v>
      </c>
      <c r="C11" s="101" t="s">
        <v>176</v>
      </c>
      <c r="D11" s="84" t="s">
        <v>177</v>
      </c>
      <c r="E11" s="86"/>
      <c r="F11" s="86"/>
      <c r="G11" s="84" t="s">
        <v>178</v>
      </c>
      <c r="H11" s="86"/>
      <c r="I11" s="86"/>
      <c r="J11" s="86"/>
      <c r="K11" s="86"/>
      <c r="L11" s="86"/>
      <c r="M11" s="86"/>
      <c r="N11" s="86"/>
      <c r="O11" s="86"/>
      <c r="P11" s="86"/>
      <c r="Q11" s="88"/>
      <c r="R11" s="88"/>
      <c r="S11" s="86"/>
      <c r="T11" s="86"/>
      <c r="U11" s="86"/>
      <c r="V11" s="90"/>
    </row>
    <row r="12" ht="19.5" customHeight="1">
      <c r="A12" s="47"/>
      <c r="B12" s="79"/>
      <c r="C12" s="61" t="s">
        <v>99</v>
      </c>
      <c r="D12" s="61" t="s">
        <v>99</v>
      </c>
      <c r="E12" s="80"/>
      <c r="F12" s="80"/>
      <c r="G12" s="61" t="s">
        <v>99</v>
      </c>
      <c r="H12" s="80"/>
      <c r="I12" s="80"/>
      <c r="J12" s="80"/>
      <c r="K12" s="80"/>
      <c r="L12" s="80"/>
      <c r="M12" s="80"/>
      <c r="N12" s="80"/>
      <c r="O12" s="80"/>
      <c r="P12" s="80"/>
      <c r="Q12" s="92"/>
      <c r="R12" s="92"/>
      <c r="S12" s="80"/>
      <c r="T12" s="80"/>
      <c r="U12" s="80"/>
      <c r="V12" s="82"/>
    </row>
    <row r="13" ht="64.5" customHeight="1">
      <c r="A13" s="47"/>
      <c r="B13" s="72" t="s">
        <v>179</v>
      </c>
      <c r="C13" s="84" t="s">
        <v>180</v>
      </c>
      <c r="D13" s="84" t="s">
        <v>181</v>
      </c>
      <c r="E13" s="84" t="s">
        <v>182</v>
      </c>
      <c r="F13" s="84" t="s">
        <v>183</v>
      </c>
      <c r="G13" s="86"/>
      <c r="H13" s="86"/>
      <c r="I13" s="88"/>
      <c r="J13" s="88"/>
      <c r="K13" s="88"/>
      <c r="L13" s="88"/>
      <c r="M13" s="86"/>
      <c r="N13" s="86"/>
      <c r="O13" s="86"/>
      <c r="P13" s="86"/>
      <c r="Q13" s="86"/>
      <c r="R13" s="86"/>
      <c r="S13" s="86"/>
      <c r="T13" s="86"/>
      <c r="U13" s="86"/>
      <c r="V13" s="95"/>
    </row>
    <row r="14" ht="19.5" customHeight="1">
      <c r="A14" s="47"/>
      <c r="B14" s="79"/>
      <c r="C14" s="61" t="s">
        <v>99</v>
      </c>
      <c r="D14" s="61" t="s">
        <v>99</v>
      </c>
      <c r="E14" s="61" t="s">
        <v>99</v>
      </c>
      <c r="F14" s="61" t="s">
        <v>99</v>
      </c>
      <c r="G14" s="102"/>
      <c r="H14" s="103"/>
      <c r="I14" s="104"/>
      <c r="J14" s="105"/>
      <c r="K14" s="109"/>
      <c r="L14" s="104"/>
      <c r="M14" s="111"/>
      <c r="N14" s="80"/>
      <c r="O14" s="80"/>
      <c r="P14" s="80"/>
      <c r="Q14" s="80"/>
      <c r="R14" s="80"/>
      <c r="S14" s="80"/>
      <c r="T14" s="102"/>
      <c r="U14" s="103"/>
      <c r="V14" s="113"/>
    </row>
    <row r="15" ht="69.75" customHeight="1">
      <c r="A15" s="47"/>
      <c r="B15" s="72" t="s">
        <v>184</v>
      </c>
      <c r="C15" s="84" t="s">
        <v>185</v>
      </c>
      <c r="D15" s="84" t="s">
        <v>186</v>
      </c>
      <c r="E15" s="84" t="s">
        <v>187</v>
      </c>
      <c r="F15" s="84" t="s">
        <v>188</v>
      </c>
      <c r="G15" s="114" t="s">
        <v>189</v>
      </c>
      <c r="H15" s="115"/>
      <c r="I15" s="115"/>
      <c r="J15" s="116"/>
      <c r="K15" s="118" t="s">
        <v>190</v>
      </c>
      <c r="L15" s="115"/>
      <c r="M15" s="116"/>
      <c r="N15" s="88"/>
      <c r="O15" s="88"/>
      <c r="P15" s="84" t="s">
        <v>191</v>
      </c>
      <c r="Q15" s="88"/>
      <c r="R15" s="88"/>
      <c r="S15" s="88"/>
      <c r="T15" s="120" t="s">
        <v>192</v>
      </c>
      <c r="U15" s="115"/>
      <c r="V15" s="122"/>
    </row>
    <row r="16" ht="19.5" customHeight="1">
      <c r="A16" s="47"/>
      <c r="B16" s="79"/>
      <c r="C16" s="61" t="s">
        <v>99</v>
      </c>
      <c r="D16" s="61" t="s">
        <v>99</v>
      </c>
      <c r="E16" s="61" t="s">
        <v>99</v>
      </c>
      <c r="F16" s="61" t="s">
        <v>99</v>
      </c>
      <c r="G16" s="123"/>
      <c r="H16" s="125"/>
      <c r="I16" s="125"/>
      <c r="J16" s="126"/>
      <c r="K16" s="123"/>
      <c r="L16" s="125"/>
      <c r="M16" s="126"/>
      <c r="N16" s="92"/>
      <c r="O16" s="109"/>
      <c r="P16" s="127"/>
      <c r="Q16" s="92"/>
      <c r="R16" s="92"/>
      <c r="S16" s="92"/>
      <c r="T16" s="128"/>
      <c r="U16" s="130"/>
      <c r="V16" s="131"/>
    </row>
    <row r="17" ht="63.0" customHeight="1">
      <c r="A17" s="47"/>
      <c r="B17" s="72" t="s">
        <v>196</v>
      </c>
      <c r="C17" s="84" t="s">
        <v>201</v>
      </c>
      <c r="D17" s="84" t="s">
        <v>203</v>
      </c>
      <c r="E17" s="84" t="s">
        <v>205</v>
      </c>
      <c r="F17" s="84" t="s">
        <v>207</v>
      </c>
      <c r="G17" s="84" t="s">
        <v>208</v>
      </c>
      <c r="H17" s="132" t="s">
        <v>209</v>
      </c>
      <c r="I17" s="116"/>
      <c r="J17" s="88"/>
      <c r="K17" s="88"/>
      <c r="L17" s="88"/>
      <c r="M17" s="88"/>
      <c r="N17" s="88"/>
      <c r="O17" s="133" t="s">
        <v>217</v>
      </c>
      <c r="P17" s="116"/>
      <c r="Q17" s="88"/>
      <c r="R17" s="86"/>
      <c r="S17" s="86"/>
      <c r="T17" s="86"/>
      <c r="U17" s="86"/>
      <c r="V17" s="90"/>
    </row>
    <row r="18" ht="19.5" customHeight="1">
      <c r="A18" s="47"/>
      <c r="B18" s="79"/>
      <c r="C18" s="61" t="s">
        <v>99</v>
      </c>
      <c r="D18" s="61" t="s">
        <v>99</v>
      </c>
      <c r="E18" s="61" t="s">
        <v>99</v>
      </c>
      <c r="F18" s="61" t="s">
        <v>99</v>
      </c>
      <c r="G18" s="134"/>
      <c r="H18" s="135"/>
      <c r="I18" s="136"/>
      <c r="J18" s="92"/>
      <c r="K18" s="92"/>
      <c r="L18" s="92"/>
      <c r="M18" s="92"/>
      <c r="N18" s="92"/>
      <c r="O18" s="135"/>
      <c r="P18" s="136"/>
      <c r="Q18" s="92"/>
      <c r="R18" s="80"/>
      <c r="S18" s="80"/>
      <c r="T18" s="80"/>
      <c r="U18" s="80"/>
      <c r="V18" s="82"/>
    </row>
    <row r="19" ht="49.5" customHeight="1">
      <c r="A19" s="47"/>
      <c r="B19" s="72" t="s">
        <v>241</v>
      </c>
      <c r="C19" s="86"/>
      <c r="D19" s="86"/>
      <c r="E19" s="86"/>
      <c r="F19" s="86"/>
      <c r="G19" s="84" t="s">
        <v>244</v>
      </c>
      <c r="H19" s="84" t="s">
        <v>244</v>
      </c>
      <c r="I19" s="86"/>
      <c r="J19" s="86"/>
      <c r="K19" s="86"/>
      <c r="L19" s="86"/>
      <c r="M19" s="88"/>
      <c r="N19" s="88"/>
      <c r="O19" s="86"/>
      <c r="P19" s="86"/>
      <c r="Q19" s="86"/>
      <c r="R19" s="86"/>
      <c r="S19" s="88"/>
      <c r="T19" s="88"/>
      <c r="U19" s="86"/>
      <c r="V19" s="90"/>
    </row>
    <row r="20" ht="19.5" customHeight="1">
      <c r="A20" s="47"/>
      <c r="B20" s="79"/>
      <c r="C20" s="102"/>
      <c r="D20" s="103"/>
      <c r="E20" s="103"/>
      <c r="F20" s="111"/>
      <c r="G20" s="134"/>
      <c r="H20" s="134"/>
      <c r="I20" s="102"/>
      <c r="J20" s="103"/>
      <c r="K20" s="111"/>
      <c r="L20" s="80"/>
      <c r="M20" s="92"/>
      <c r="N20" s="92"/>
      <c r="O20" s="80"/>
      <c r="P20" s="80"/>
      <c r="Q20" s="80"/>
      <c r="R20" s="80"/>
      <c r="S20" s="92"/>
      <c r="T20" s="92"/>
      <c r="U20" s="80"/>
      <c r="V20" s="82"/>
    </row>
    <row r="21" ht="49.5" customHeight="1">
      <c r="A21" s="47"/>
      <c r="B21" s="72" t="s">
        <v>247</v>
      </c>
      <c r="C21" s="114" t="s">
        <v>250</v>
      </c>
      <c r="D21" s="115"/>
      <c r="E21" s="115"/>
      <c r="F21" s="116"/>
      <c r="G21" s="86"/>
      <c r="H21" s="86"/>
      <c r="I21" s="114" t="s">
        <v>253</v>
      </c>
      <c r="J21" s="115"/>
      <c r="K21" s="116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95"/>
    </row>
    <row r="22" ht="19.5" customHeight="1">
      <c r="A22" s="47"/>
      <c r="B22" s="79"/>
      <c r="C22" s="61" t="s">
        <v>99</v>
      </c>
      <c r="D22" s="61" t="s">
        <v>99</v>
      </c>
      <c r="E22" s="61" t="s">
        <v>99</v>
      </c>
      <c r="F22" s="61" t="s">
        <v>99</v>
      </c>
      <c r="G22" s="80"/>
      <c r="H22" s="80"/>
      <c r="I22" s="123"/>
      <c r="J22" s="125"/>
      <c r="K22" s="126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100"/>
    </row>
    <row r="23" ht="64.5" customHeight="1">
      <c r="A23" s="47"/>
      <c r="B23" s="72" t="s">
        <v>259</v>
      </c>
      <c r="C23" s="84" t="s">
        <v>261</v>
      </c>
      <c r="D23" s="84" t="s">
        <v>263</v>
      </c>
      <c r="E23" s="84" t="s">
        <v>264</v>
      </c>
      <c r="F23" s="84" t="s">
        <v>265</v>
      </c>
      <c r="G23" s="88"/>
      <c r="H23" s="88"/>
      <c r="I23" s="86"/>
      <c r="J23" s="86"/>
      <c r="K23" s="86"/>
      <c r="L23" s="86"/>
      <c r="M23" s="86"/>
      <c r="N23" s="86"/>
      <c r="O23" s="86"/>
      <c r="P23" s="88"/>
      <c r="Q23" s="88"/>
      <c r="R23" s="86"/>
      <c r="S23" s="86"/>
      <c r="T23" s="86"/>
      <c r="U23" s="86"/>
      <c r="V23" s="90"/>
    </row>
    <row r="24" ht="19.5" customHeight="1">
      <c r="A24" s="47"/>
      <c r="B24" s="79"/>
      <c r="C24" s="61" t="s">
        <v>99</v>
      </c>
      <c r="D24" s="61" t="s">
        <v>99</v>
      </c>
      <c r="E24" s="61" t="s">
        <v>99</v>
      </c>
      <c r="F24" s="61" t="s">
        <v>99</v>
      </c>
      <c r="G24" s="92"/>
      <c r="H24" s="92"/>
      <c r="I24" s="80"/>
      <c r="J24" s="80"/>
      <c r="K24" s="80"/>
      <c r="L24" s="80"/>
      <c r="M24" s="80"/>
      <c r="N24" s="80"/>
      <c r="O24" s="80"/>
      <c r="P24" s="92"/>
      <c r="Q24" s="92"/>
      <c r="R24" s="80"/>
      <c r="S24" s="80"/>
      <c r="T24" s="80"/>
      <c r="U24" s="80"/>
      <c r="V24" s="82"/>
    </row>
    <row r="25" ht="68.25" customHeight="1">
      <c r="A25" s="47"/>
      <c r="B25" s="72" t="s">
        <v>269</v>
      </c>
      <c r="C25" s="114" t="s">
        <v>271</v>
      </c>
      <c r="D25" s="115"/>
      <c r="E25" s="115"/>
      <c r="F25" s="116"/>
      <c r="G25" s="84" t="s">
        <v>273</v>
      </c>
      <c r="H25" s="84" t="s">
        <v>274</v>
      </c>
      <c r="I25" s="84" t="s">
        <v>275</v>
      </c>
      <c r="J25" s="88"/>
      <c r="K25" s="86"/>
      <c r="L25" s="86"/>
      <c r="M25" s="86"/>
      <c r="N25" s="86"/>
      <c r="O25" s="88"/>
      <c r="P25" s="86"/>
      <c r="Q25" s="86"/>
      <c r="R25" s="86"/>
      <c r="S25" s="88"/>
      <c r="T25" s="88"/>
      <c r="U25" s="88"/>
      <c r="V25" s="95"/>
    </row>
    <row r="26" ht="19.5" customHeight="1">
      <c r="A26" s="142"/>
      <c r="B26" s="79"/>
      <c r="C26" s="61" t="s">
        <v>99</v>
      </c>
      <c r="D26" s="61" t="s">
        <v>99</v>
      </c>
      <c r="E26" s="61" t="s">
        <v>99</v>
      </c>
      <c r="F26" s="61" t="s">
        <v>99</v>
      </c>
      <c r="G26" s="144"/>
      <c r="H26" s="144"/>
      <c r="I26" s="144"/>
      <c r="J26" s="92"/>
      <c r="K26" s="80"/>
      <c r="L26" s="80"/>
      <c r="M26" s="80"/>
      <c r="N26" s="80"/>
      <c r="O26" s="92"/>
      <c r="P26" s="80"/>
      <c r="Q26" s="80"/>
      <c r="R26" s="80"/>
      <c r="S26" s="92"/>
      <c r="T26" s="92"/>
      <c r="U26" s="92"/>
      <c r="V26" s="100"/>
    </row>
    <row r="27" ht="23.25" customHeight="1">
      <c r="A27" s="146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22"/>
    </row>
    <row r="28" ht="30.0" customHeight="1">
      <c r="A28" s="20" t="s">
        <v>2</v>
      </c>
      <c r="B28" s="22" t="s">
        <v>3</v>
      </c>
      <c r="C28" s="22" t="s">
        <v>4</v>
      </c>
      <c r="D28" s="22" t="s">
        <v>5</v>
      </c>
      <c r="E28" s="22" t="s">
        <v>6</v>
      </c>
      <c r="F28" s="22" t="s">
        <v>8</v>
      </c>
      <c r="G28" s="22" t="s">
        <v>9</v>
      </c>
      <c r="H28" s="22" t="s">
        <v>10</v>
      </c>
      <c r="I28" s="22" t="s">
        <v>11</v>
      </c>
      <c r="J28" s="22" t="s">
        <v>12</v>
      </c>
      <c r="K28" s="22" t="s">
        <v>13</v>
      </c>
      <c r="L28" s="22" t="s">
        <v>14</v>
      </c>
      <c r="M28" s="22" t="s">
        <v>15</v>
      </c>
      <c r="N28" s="22" t="s">
        <v>16</v>
      </c>
      <c r="O28" s="22" t="s">
        <v>17</v>
      </c>
      <c r="P28" s="22" t="s">
        <v>18</v>
      </c>
      <c r="Q28" s="22" t="s">
        <v>19</v>
      </c>
      <c r="R28" s="22" t="s">
        <v>20</v>
      </c>
      <c r="S28" s="22" t="s">
        <v>21</v>
      </c>
      <c r="T28" s="22" t="s">
        <v>22</v>
      </c>
      <c r="U28" s="22" t="s">
        <v>23</v>
      </c>
      <c r="V28" s="24" t="s">
        <v>24</v>
      </c>
    </row>
    <row r="29" ht="49.5" customHeight="1">
      <c r="A29" s="32" t="s">
        <v>301</v>
      </c>
      <c r="B29" s="72" t="s">
        <v>30</v>
      </c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5"/>
    </row>
    <row r="30" ht="19.5" customHeight="1">
      <c r="A30" s="47"/>
      <c r="B30" s="79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100"/>
    </row>
    <row r="31" ht="49.5" customHeight="1">
      <c r="A31" s="47"/>
      <c r="B31" s="72" t="s">
        <v>113</v>
      </c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8"/>
    </row>
    <row r="32" ht="19.5" customHeight="1">
      <c r="A32" s="47"/>
      <c r="B32" s="79"/>
      <c r="C32" s="80"/>
      <c r="D32" s="80"/>
      <c r="E32" s="102"/>
      <c r="F32" s="102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2"/>
    </row>
    <row r="33" ht="72.0" customHeight="1">
      <c r="A33" s="47"/>
      <c r="B33" s="72" t="s">
        <v>140</v>
      </c>
      <c r="C33" s="153"/>
      <c r="D33" s="153"/>
      <c r="E33" s="159" t="s">
        <v>316</v>
      </c>
      <c r="F33" s="159" t="s">
        <v>320</v>
      </c>
      <c r="G33" s="157"/>
      <c r="H33" s="157"/>
      <c r="I33" s="153"/>
      <c r="J33" s="153"/>
      <c r="K33" s="157"/>
      <c r="L33" s="157"/>
      <c r="M33" s="153"/>
      <c r="N33" s="153"/>
      <c r="O33" s="153"/>
      <c r="P33" s="153"/>
      <c r="Q33" s="157"/>
      <c r="R33" s="157"/>
      <c r="S33" s="157"/>
      <c r="T33" s="157"/>
      <c r="U33" s="157"/>
      <c r="V33" s="158"/>
    </row>
    <row r="34" ht="19.5" customHeight="1">
      <c r="A34" s="47"/>
      <c r="B34" s="79"/>
      <c r="C34" s="92"/>
      <c r="D34" s="92"/>
      <c r="E34" s="61" t="s">
        <v>99</v>
      </c>
      <c r="F34" s="61" t="s">
        <v>99</v>
      </c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100"/>
    </row>
    <row r="35" ht="49.5" customHeight="1">
      <c r="A35" s="47"/>
      <c r="B35" s="72" t="s">
        <v>159</v>
      </c>
      <c r="C35" s="153"/>
      <c r="D35" s="153"/>
      <c r="E35" s="153"/>
      <c r="F35" s="153"/>
      <c r="G35" s="157"/>
      <c r="H35" s="157"/>
      <c r="I35" s="157"/>
      <c r="J35" s="157"/>
      <c r="K35" s="157"/>
      <c r="L35" s="153"/>
      <c r="M35" s="157"/>
      <c r="N35" s="153"/>
      <c r="O35" s="153"/>
      <c r="P35" s="153"/>
      <c r="Q35" s="157"/>
      <c r="R35" s="157"/>
      <c r="S35" s="157"/>
      <c r="T35" s="157"/>
      <c r="U35" s="153"/>
      <c r="V35" s="155"/>
    </row>
    <row r="36" ht="19.5" customHeight="1">
      <c r="A36" s="47"/>
      <c r="B36" s="79"/>
      <c r="C36" s="92"/>
      <c r="D36" s="92"/>
      <c r="E36" s="92"/>
      <c r="F36" s="92"/>
      <c r="G36" s="80"/>
      <c r="H36" s="80"/>
      <c r="I36" s="80"/>
      <c r="J36" s="80"/>
      <c r="K36" s="80"/>
      <c r="L36" s="92"/>
      <c r="M36" s="80"/>
      <c r="N36" s="92"/>
      <c r="O36" s="92"/>
      <c r="P36" s="92"/>
      <c r="Q36" s="80"/>
      <c r="R36" s="80"/>
      <c r="S36" s="80"/>
      <c r="T36" s="80"/>
      <c r="U36" s="92"/>
      <c r="V36" s="100"/>
    </row>
    <row r="37" ht="94.5" customHeight="1">
      <c r="A37" s="47"/>
      <c r="B37" s="160" t="s">
        <v>175</v>
      </c>
      <c r="C37" s="159" t="s">
        <v>330</v>
      </c>
      <c r="D37" s="159" t="s">
        <v>331</v>
      </c>
      <c r="E37" s="159" t="s">
        <v>332</v>
      </c>
      <c r="F37" s="159" t="s">
        <v>334</v>
      </c>
      <c r="G37" s="159" t="s">
        <v>335</v>
      </c>
      <c r="H37" s="159" t="s">
        <v>336</v>
      </c>
      <c r="I37" s="157"/>
      <c r="J37" s="157"/>
      <c r="K37" s="157"/>
      <c r="L37" s="157"/>
      <c r="M37" s="157"/>
      <c r="N37" s="157"/>
      <c r="O37" s="157"/>
      <c r="P37" s="157"/>
      <c r="Q37" s="153"/>
      <c r="R37" s="153"/>
      <c r="S37" s="157"/>
      <c r="T37" s="157"/>
      <c r="U37" s="157"/>
      <c r="V37" s="158"/>
    </row>
    <row r="38" ht="19.5" customHeight="1">
      <c r="A38" s="47"/>
      <c r="B38" s="161"/>
      <c r="C38" s="144"/>
      <c r="D38" s="144"/>
      <c r="E38" s="144"/>
      <c r="F38" s="144"/>
      <c r="G38" s="144"/>
      <c r="H38" s="144"/>
      <c r="I38" s="102"/>
      <c r="J38" s="103"/>
      <c r="K38" s="111"/>
      <c r="L38" s="80"/>
      <c r="M38" s="80"/>
      <c r="N38" s="80"/>
      <c r="O38" s="80"/>
      <c r="P38" s="80"/>
      <c r="Q38" s="92"/>
      <c r="R38" s="92"/>
      <c r="S38" s="80"/>
      <c r="T38" s="80"/>
      <c r="U38" s="80"/>
      <c r="V38" s="82"/>
    </row>
    <row r="39" ht="49.5" customHeight="1">
      <c r="A39" s="47"/>
      <c r="B39" s="72" t="s">
        <v>179</v>
      </c>
      <c r="C39" s="153"/>
      <c r="D39" s="153"/>
      <c r="E39" s="153"/>
      <c r="F39" s="159" t="s">
        <v>347</v>
      </c>
      <c r="G39" s="159" t="s">
        <v>348</v>
      </c>
      <c r="H39" s="157"/>
      <c r="I39" s="114" t="s">
        <v>349</v>
      </c>
      <c r="J39" s="115"/>
      <c r="K39" s="116"/>
      <c r="L39" s="153"/>
      <c r="M39" s="157"/>
      <c r="N39" s="157"/>
      <c r="O39" s="157"/>
      <c r="P39" s="157"/>
      <c r="Q39" s="157"/>
      <c r="R39" s="157"/>
      <c r="S39" s="157"/>
      <c r="T39" s="157"/>
      <c r="U39" s="157"/>
      <c r="V39" s="155"/>
    </row>
    <row r="40" ht="19.5" customHeight="1">
      <c r="A40" s="47"/>
      <c r="B40" s="79"/>
      <c r="C40" s="92"/>
      <c r="D40" s="92"/>
      <c r="E40" s="92"/>
      <c r="F40" s="144"/>
      <c r="G40" s="144"/>
      <c r="H40" s="102"/>
      <c r="I40" s="162"/>
      <c r="J40" s="162"/>
      <c r="K40" s="163"/>
      <c r="L40" s="92"/>
      <c r="M40" s="80"/>
      <c r="N40" s="80"/>
      <c r="O40" s="80"/>
      <c r="P40" s="80"/>
      <c r="Q40" s="80"/>
      <c r="R40" s="80"/>
      <c r="S40" s="80"/>
      <c r="T40" s="80"/>
      <c r="U40" s="80"/>
      <c r="V40" s="100"/>
    </row>
    <row r="41" ht="102.75" customHeight="1">
      <c r="A41" s="47"/>
      <c r="B41" s="72" t="s">
        <v>184</v>
      </c>
      <c r="C41" s="159" t="s">
        <v>350</v>
      </c>
      <c r="D41" s="159" t="s">
        <v>351</v>
      </c>
      <c r="E41" s="159" t="s">
        <v>352</v>
      </c>
      <c r="F41" s="159" t="s">
        <v>353</v>
      </c>
      <c r="G41" s="159" t="s">
        <v>354</v>
      </c>
      <c r="H41" s="114" t="s">
        <v>355</v>
      </c>
      <c r="I41" s="115"/>
      <c r="J41" s="115"/>
      <c r="K41" s="116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5"/>
    </row>
    <row r="42" ht="19.5" customHeight="1">
      <c r="A42" s="47"/>
      <c r="B42" s="79"/>
      <c r="C42" s="144"/>
      <c r="D42" s="144"/>
      <c r="E42" s="144"/>
      <c r="F42" s="144"/>
      <c r="G42" s="144"/>
      <c r="H42" s="165"/>
      <c r="I42" s="125"/>
      <c r="J42" s="125"/>
      <c r="K42" s="126"/>
      <c r="L42" s="92"/>
      <c r="M42" s="92"/>
      <c r="N42" s="92"/>
      <c r="O42" s="92"/>
      <c r="P42" s="109"/>
      <c r="Q42" s="104"/>
      <c r="R42" s="104"/>
      <c r="S42" s="105"/>
      <c r="T42" s="109"/>
      <c r="U42" s="104"/>
      <c r="V42" s="113"/>
    </row>
    <row r="43" ht="49.5" customHeight="1">
      <c r="A43" s="47"/>
      <c r="B43" s="72" t="s">
        <v>196</v>
      </c>
      <c r="C43" s="159" t="s">
        <v>356</v>
      </c>
      <c r="D43" s="159" t="s">
        <v>357</v>
      </c>
      <c r="E43" s="159" t="s">
        <v>359</v>
      </c>
      <c r="F43" s="159" t="s">
        <v>361</v>
      </c>
      <c r="G43" s="114" t="s">
        <v>362</v>
      </c>
      <c r="H43" s="159" t="s">
        <v>363</v>
      </c>
      <c r="I43" s="167"/>
      <c r="J43" s="153"/>
      <c r="K43" s="153"/>
      <c r="L43" s="153"/>
      <c r="M43" s="153"/>
      <c r="N43" s="153"/>
      <c r="O43" s="153"/>
      <c r="P43" s="114" t="s">
        <v>367</v>
      </c>
      <c r="Q43" s="115"/>
      <c r="R43" s="115"/>
      <c r="S43" s="116"/>
      <c r="T43" s="114" t="s">
        <v>368</v>
      </c>
      <c r="U43" s="115"/>
      <c r="V43" s="122"/>
    </row>
    <row r="44" ht="19.5" customHeight="1">
      <c r="A44" s="47"/>
      <c r="B44" s="79"/>
      <c r="C44" s="144"/>
      <c r="D44" s="144"/>
      <c r="E44" s="144"/>
      <c r="F44" s="144"/>
      <c r="G44" s="144"/>
      <c r="H44" s="165"/>
      <c r="I44" s="92"/>
      <c r="J44" s="92"/>
      <c r="K44" s="92"/>
      <c r="L44" s="109"/>
      <c r="M44" s="104"/>
      <c r="N44" s="105"/>
      <c r="O44" s="92"/>
      <c r="P44" s="135"/>
      <c r="Q44" s="169"/>
      <c r="R44" s="169"/>
      <c r="S44" s="136"/>
      <c r="T44" s="135"/>
      <c r="U44" s="169"/>
      <c r="V44" s="170"/>
    </row>
    <row r="45" ht="49.5" customHeight="1">
      <c r="A45" s="47"/>
      <c r="B45" s="72" t="s">
        <v>241</v>
      </c>
      <c r="C45" s="157"/>
      <c r="D45" s="157"/>
      <c r="E45" s="157"/>
      <c r="F45" s="157"/>
      <c r="G45" s="153"/>
      <c r="H45" s="153"/>
      <c r="I45" s="157"/>
      <c r="J45" s="157"/>
      <c r="K45" s="157"/>
      <c r="L45" s="114" t="s">
        <v>369</v>
      </c>
      <c r="M45" s="115"/>
      <c r="N45" s="116"/>
      <c r="O45" s="157"/>
      <c r="P45" s="157"/>
      <c r="Q45" s="157"/>
      <c r="R45" s="157"/>
      <c r="S45" s="153"/>
      <c r="T45" s="153"/>
      <c r="U45" s="157"/>
      <c r="V45" s="158"/>
    </row>
    <row r="46" ht="19.5" customHeight="1">
      <c r="A46" s="47"/>
      <c r="B46" s="79"/>
      <c r="C46" s="80"/>
      <c r="D46" s="80"/>
      <c r="E46" s="80"/>
      <c r="F46" s="80"/>
      <c r="G46" s="92"/>
      <c r="H46" s="92"/>
      <c r="I46" s="80"/>
      <c r="J46" s="80"/>
      <c r="K46" s="80"/>
      <c r="L46" s="172"/>
      <c r="M46" s="162"/>
      <c r="N46" s="163"/>
      <c r="O46" s="80"/>
      <c r="P46" s="80"/>
      <c r="Q46" s="80"/>
      <c r="R46" s="80"/>
      <c r="S46" s="92"/>
      <c r="T46" s="92"/>
      <c r="U46" s="80"/>
      <c r="V46" s="82"/>
    </row>
    <row r="47" ht="93.0" customHeight="1">
      <c r="A47" s="47"/>
      <c r="B47" s="173" t="s">
        <v>385</v>
      </c>
      <c r="C47" s="159" t="s">
        <v>398</v>
      </c>
      <c r="D47" s="159" t="s">
        <v>401</v>
      </c>
      <c r="E47" s="174" t="s">
        <v>402</v>
      </c>
      <c r="F47" s="174" t="s">
        <v>407</v>
      </c>
      <c r="G47" s="157"/>
      <c r="H47" s="157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5"/>
    </row>
    <row r="48" ht="19.5" customHeight="1">
      <c r="A48" s="47"/>
      <c r="B48" s="79"/>
      <c r="C48" s="175"/>
      <c r="D48" s="176"/>
      <c r="E48" s="96" t="s">
        <v>412</v>
      </c>
      <c r="F48" s="96" t="s">
        <v>414</v>
      </c>
      <c r="G48" s="80"/>
      <c r="H48" s="80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100"/>
    </row>
    <row r="49" ht="49.5" customHeight="1">
      <c r="A49" s="47"/>
      <c r="B49" s="173" t="s">
        <v>416</v>
      </c>
      <c r="C49" s="114" t="s">
        <v>418</v>
      </c>
      <c r="D49" s="115"/>
      <c r="E49" s="115"/>
      <c r="F49" s="116"/>
      <c r="G49" s="153"/>
      <c r="H49" s="153"/>
      <c r="I49" s="157"/>
      <c r="J49" s="157"/>
      <c r="K49" s="157"/>
      <c r="L49" s="157"/>
      <c r="M49" s="157"/>
      <c r="N49" s="157"/>
      <c r="O49" s="157"/>
      <c r="P49" s="153"/>
      <c r="Q49" s="153"/>
      <c r="R49" s="157"/>
      <c r="S49" s="157"/>
      <c r="T49" s="157"/>
      <c r="U49" s="157"/>
      <c r="V49" s="158"/>
    </row>
    <row r="50" ht="19.5" customHeight="1">
      <c r="A50" s="47"/>
      <c r="B50" s="79"/>
      <c r="C50" s="123"/>
      <c r="D50" s="125"/>
      <c r="E50" s="125"/>
      <c r="F50" s="125"/>
      <c r="G50" s="105"/>
      <c r="H50" s="109"/>
      <c r="I50" s="103"/>
      <c r="J50" s="111"/>
      <c r="K50" s="80"/>
      <c r="L50" s="80"/>
      <c r="M50" s="80"/>
      <c r="N50" s="80"/>
      <c r="O50" s="80"/>
      <c r="P50" s="92"/>
      <c r="Q50" s="92"/>
      <c r="R50" s="80"/>
      <c r="S50" s="80"/>
      <c r="T50" s="80"/>
      <c r="U50" s="80"/>
      <c r="V50" s="82"/>
    </row>
    <row r="51" ht="49.5" customHeight="1">
      <c r="A51" s="47"/>
      <c r="B51" s="173" t="s">
        <v>424</v>
      </c>
      <c r="C51" s="114" t="s">
        <v>425</v>
      </c>
      <c r="D51" s="115"/>
      <c r="E51" s="115"/>
      <c r="F51" s="115"/>
      <c r="G51" s="116"/>
      <c r="H51" s="114" t="s">
        <v>429</v>
      </c>
      <c r="I51" s="115"/>
      <c r="J51" s="116"/>
      <c r="K51" s="157"/>
      <c r="L51" s="157"/>
      <c r="M51" s="157"/>
      <c r="N51" s="157"/>
      <c r="O51" s="153"/>
      <c r="P51" s="157"/>
      <c r="Q51" s="157"/>
      <c r="R51" s="157"/>
      <c r="S51" s="153"/>
      <c r="T51" s="153"/>
      <c r="U51" s="153"/>
      <c r="V51" s="155"/>
    </row>
    <row r="52" ht="19.5" customHeight="1">
      <c r="A52" s="142"/>
      <c r="B52" s="79"/>
      <c r="C52" s="172"/>
      <c r="D52" s="115"/>
      <c r="E52" s="115"/>
      <c r="F52" s="115"/>
      <c r="G52" s="116"/>
      <c r="H52" s="123"/>
      <c r="I52" s="115"/>
      <c r="J52" s="116"/>
      <c r="K52" s="80"/>
      <c r="L52" s="80"/>
      <c r="M52" s="80"/>
      <c r="N52" s="80"/>
      <c r="O52" s="92"/>
      <c r="P52" s="80"/>
      <c r="Q52" s="80"/>
      <c r="R52" s="80"/>
      <c r="S52" s="92"/>
      <c r="T52" s="92"/>
      <c r="U52" s="92"/>
      <c r="V52" s="100"/>
    </row>
    <row r="53" ht="23.25" customHeight="1">
      <c r="A53" s="146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22"/>
    </row>
    <row r="54" ht="30.0" customHeight="1">
      <c r="A54" s="20" t="s">
        <v>2</v>
      </c>
      <c r="B54" s="22" t="s">
        <v>3</v>
      </c>
      <c r="C54" s="22" t="s">
        <v>4</v>
      </c>
      <c r="D54" s="22" t="s">
        <v>5</v>
      </c>
      <c r="E54" s="22" t="s">
        <v>6</v>
      </c>
      <c r="F54" s="22" t="s">
        <v>8</v>
      </c>
      <c r="G54" s="22" t="s">
        <v>9</v>
      </c>
      <c r="H54" s="22" t="s">
        <v>10</v>
      </c>
      <c r="I54" s="22" t="s">
        <v>11</v>
      </c>
      <c r="J54" s="22" t="s">
        <v>12</v>
      </c>
      <c r="K54" s="22" t="s">
        <v>13</v>
      </c>
      <c r="L54" s="22" t="s">
        <v>14</v>
      </c>
      <c r="M54" s="22" t="s">
        <v>15</v>
      </c>
      <c r="N54" s="22" t="s">
        <v>16</v>
      </c>
      <c r="O54" s="22" t="s">
        <v>17</v>
      </c>
      <c r="P54" s="22" t="s">
        <v>18</v>
      </c>
      <c r="Q54" s="22" t="s">
        <v>19</v>
      </c>
      <c r="R54" s="22" t="s">
        <v>20</v>
      </c>
      <c r="S54" s="22" t="s">
        <v>21</v>
      </c>
      <c r="T54" s="22" t="s">
        <v>22</v>
      </c>
      <c r="U54" s="22" t="s">
        <v>23</v>
      </c>
      <c r="V54" s="24" t="s">
        <v>24</v>
      </c>
    </row>
    <row r="55" ht="49.5" customHeight="1">
      <c r="A55" s="32" t="s">
        <v>458</v>
      </c>
      <c r="B55" s="72" t="s">
        <v>30</v>
      </c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5"/>
    </row>
    <row r="56" ht="19.5" customHeight="1">
      <c r="A56" s="47"/>
      <c r="B56" s="79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100"/>
    </row>
    <row r="57" ht="66.0" customHeight="1">
      <c r="A57" s="47"/>
      <c r="B57" s="72" t="s">
        <v>113</v>
      </c>
      <c r="C57" s="159" t="s">
        <v>475</v>
      </c>
      <c r="D57" s="159" t="s">
        <v>476</v>
      </c>
      <c r="E57" s="159" t="s">
        <v>478</v>
      </c>
      <c r="F57" s="159" t="s">
        <v>479</v>
      </c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8"/>
    </row>
    <row r="58" ht="19.5" customHeight="1">
      <c r="A58" s="47"/>
      <c r="B58" s="79"/>
      <c r="C58" s="144"/>
      <c r="D58" s="144"/>
      <c r="E58" s="144"/>
      <c r="F58" s="144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2"/>
    </row>
    <row r="59" ht="49.5" customHeight="1">
      <c r="A59" s="47"/>
      <c r="B59" s="72" t="s">
        <v>140</v>
      </c>
      <c r="C59" s="114" t="s">
        <v>483</v>
      </c>
      <c r="D59" s="115"/>
      <c r="E59" s="115"/>
      <c r="F59" s="116"/>
      <c r="G59" s="157"/>
      <c r="H59" s="157"/>
      <c r="I59" s="153"/>
      <c r="J59" s="153"/>
      <c r="K59" s="157"/>
      <c r="L59" s="157"/>
      <c r="M59" s="153"/>
      <c r="N59" s="153"/>
      <c r="O59" s="153"/>
      <c r="P59" s="153"/>
      <c r="Q59" s="157"/>
      <c r="R59" s="157"/>
      <c r="S59" s="157"/>
      <c r="T59" s="157"/>
      <c r="U59" s="157"/>
      <c r="V59" s="158"/>
    </row>
    <row r="60" ht="19.5" customHeight="1">
      <c r="A60" s="47"/>
      <c r="B60" s="79"/>
      <c r="C60" s="172"/>
      <c r="D60" s="162"/>
      <c r="E60" s="162"/>
      <c r="F60" s="163"/>
      <c r="G60" s="80"/>
      <c r="H60" s="80"/>
      <c r="I60" s="92"/>
      <c r="J60" s="92"/>
      <c r="K60" s="80"/>
      <c r="L60" s="80"/>
      <c r="M60" s="92"/>
      <c r="N60" s="92"/>
      <c r="O60" s="92"/>
      <c r="P60" s="92"/>
      <c r="Q60" s="80"/>
      <c r="R60" s="80"/>
      <c r="S60" s="80"/>
      <c r="T60" s="80"/>
      <c r="U60" s="80"/>
      <c r="V60" s="82"/>
    </row>
    <row r="61" ht="49.5" customHeight="1">
      <c r="A61" s="47"/>
      <c r="B61" s="72" t="s">
        <v>159</v>
      </c>
      <c r="C61" s="159" t="s">
        <v>490</v>
      </c>
      <c r="D61" s="159" t="s">
        <v>491</v>
      </c>
      <c r="E61" s="159" t="s">
        <v>492</v>
      </c>
      <c r="F61" s="159" t="s">
        <v>494</v>
      </c>
      <c r="G61" s="159" t="s">
        <v>495</v>
      </c>
      <c r="H61" s="157"/>
      <c r="I61" s="157"/>
      <c r="J61" s="157"/>
      <c r="K61" s="157"/>
      <c r="L61" s="153"/>
      <c r="M61" s="157"/>
      <c r="N61" s="153"/>
      <c r="O61" s="159" t="s">
        <v>495</v>
      </c>
      <c r="P61" s="159" t="s">
        <v>496</v>
      </c>
      <c r="Q61" s="159" t="s">
        <v>497</v>
      </c>
      <c r="R61" s="157"/>
      <c r="S61" s="157"/>
      <c r="T61" s="157"/>
      <c r="U61" s="153"/>
      <c r="V61" s="155"/>
    </row>
    <row r="62" ht="19.5" customHeight="1">
      <c r="A62" s="47"/>
      <c r="B62" s="79"/>
      <c r="C62" s="175"/>
      <c r="D62" s="176"/>
      <c r="E62" s="176"/>
      <c r="F62" s="127"/>
      <c r="G62" s="144"/>
      <c r="H62" s="80"/>
      <c r="I62" s="80"/>
      <c r="J62" s="80"/>
      <c r="K62" s="80"/>
      <c r="L62" s="92"/>
      <c r="M62" s="80"/>
      <c r="N62" s="92"/>
      <c r="O62" s="144"/>
      <c r="P62" s="144"/>
      <c r="Q62" s="144"/>
      <c r="R62" s="80"/>
      <c r="S62" s="80"/>
      <c r="T62" s="80"/>
      <c r="U62" s="92"/>
      <c r="V62" s="100"/>
    </row>
    <row r="63" ht="49.5" customHeight="1">
      <c r="A63" s="47"/>
      <c r="B63" s="72" t="s">
        <v>175</v>
      </c>
      <c r="C63" s="120" t="s">
        <v>502</v>
      </c>
      <c r="D63" s="115"/>
      <c r="E63" s="115"/>
      <c r="F63" s="116"/>
      <c r="G63" s="153"/>
      <c r="H63" s="157"/>
      <c r="I63" s="157"/>
      <c r="J63" s="157"/>
      <c r="K63" s="157"/>
      <c r="L63" s="157"/>
      <c r="M63" s="157"/>
      <c r="N63" s="157"/>
      <c r="O63" s="157"/>
      <c r="P63" s="157"/>
      <c r="Q63" s="153"/>
      <c r="R63" s="153"/>
      <c r="S63" s="157"/>
      <c r="T63" s="157"/>
      <c r="U63" s="157"/>
      <c r="V63" s="158"/>
    </row>
    <row r="64" ht="19.5" customHeight="1">
      <c r="A64" s="47"/>
      <c r="B64" s="79"/>
      <c r="C64" s="175"/>
      <c r="D64" s="176"/>
      <c r="E64" s="176"/>
      <c r="F64" s="127"/>
      <c r="G64" s="144"/>
      <c r="H64" s="80"/>
      <c r="I64" s="80"/>
      <c r="J64" s="80"/>
      <c r="K64" s="80"/>
      <c r="L64" s="92"/>
      <c r="M64" s="80"/>
      <c r="N64" s="92"/>
      <c r="O64" s="144"/>
      <c r="P64" s="144"/>
      <c r="Q64" s="144"/>
      <c r="R64" s="80"/>
      <c r="S64" s="80"/>
      <c r="T64" s="80"/>
      <c r="U64" s="92"/>
      <c r="V64" s="100"/>
    </row>
    <row r="65" ht="49.5" customHeight="1">
      <c r="A65" s="47"/>
      <c r="B65" s="72" t="s">
        <v>179</v>
      </c>
      <c r="C65" s="159" t="s">
        <v>507</v>
      </c>
      <c r="D65" s="159" t="s">
        <v>508</v>
      </c>
      <c r="E65" s="159" t="s">
        <v>509</v>
      </c>
      <c r="F65" s="114" t="s">
        <v>511</v>
      </c>
      <c r="G65" s="116"/>
      <c r="H65" s="159" t="s">
        <v>513</v>
      </c>
      <c r="I65" s="153" t="s">
        <v>515</v>
      </c>
      <c r="J65" s="153"/>
      <c r="K65" s="153"/>
      <c r="L65" s="153"/>
      <c r="M65" s="157"/>
      <c r="N65" s="157"/>
      <c r="O65" s="157"/>
      <c r="P65" s="157"/>
      <c r="Q65" s="157"/>
      <c r="R65" s="157"/>
      <c r="S65" s="120" t="s">
        <v>513</v>
      </c>
      <c r="T65" s="116"/>
      <c r="U65" s="120" t="s">
        <v>515</v>
      </c>
      <c r="V65" s="122"/>
    </row>
    <row r="66" ht="19.5" customHeight="1">
      <c r="A66" s="47"/>
      <c r="B66" s="79"/>
      <c r="C66" s="99" t="s">
        <v>518</v>
      </c>
      <c r="D66" s="99" t="s">
        <v>519</v>
      </c>
      <c r="E66" s="99" t="s">
        <v>520</v>
      </c>
      <c r="F66" s="182"/>
      <c r="G66" s="162"/>
      <c r="H66" s="176"/>
      <c r="I66" s="104"/>
      <c r="J66" s="105"/>
      <c r="K66" s="92"/>
      <c r="L66" s="92"/>
      <c r="M66" s="80"/>
      <c r="N66" s="80"/>
      <c r="O66" s="80"/>
      <c r="P66" s="80"/>
      <c r="Q66" s="80"/>
      <c r="R66" s="80"/>
      <c r="S66" s="109"/>
      <c r="T66" s="105"/>
      <c r="U66" s="109"/>
      <c r="V66" s="113"/>
    </row>
    <row r="67" ht="49.5" customHeight="1">
      <c r="A67" s="47"/>
      <c r="B67" s="72" t="s">
        <v>184</v>
      </c>
      <c r="C67" s="114" t="s">
        <v>521</v>
      </c>
      <c r="D67" s="115"/>
      <c r="E67" s="115"/>
      <c r="F67" s="116"/>
      <c r="G67" s="114" t="s">
        <v>522</v>
      </c>
      <c r="H67" s="115"/>
      <c r="I67" s="115"/>
      <c r="J67" s="116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5"/>
    </row>
    <row r="68" ht="19.5" customHeight="1">
      <c r="A68" s="47"/>
      <c r="B68" s="79"/>
      <c r="C68" s="172"/>
      <c r="D68" s="162"/>
      <c r="E68" s="162"/>
      <c r="F68" s="162"/>
      <c r="G68" s="123"/>
      <c r="H68" s="125"/>
      <c r="I68" s="125"/>
      <c r="J68" s="126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100"/>
    </row>
    <row r="69" ht="49.5" customHeight="1">
      <c r="A69" s="47"/>
      <c r="B69" s="72" t="s">
        <v>196</v>
      </c>
      <c r="C69" s="159" t="s">
        <v>523</v>
      </c>
      <c r="D69" s="159" t="s">
        <v>524</v>
      </c>
      <c r="E69" s="159" t="s">
        <v>525</v>
      </c>
      <c r="F69" s="159" t="s">
        <v>526</v>
      </c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7"/>
      <c r="S69" s="157"/>
      <c r="T69" s="157"/>
      <c r="U69" s="157"/>
      <c r="V69" s="158"/>
    </row>
    <row r="70" ht="19.5" customHeight="1">
      <c r="A70" s="47"/>
      <c r="B70" s="79"/>
      <c r="C70" s="172"/>
      <c r="D70" s="162"/>
      <c r="E70" s="162"/>
      <c r="F70" s="182"/>
      <c r="G70" s="109"/>
      <c r="H70" s="109"/>
      <c r="I70" s="109"/>
      <c r="J70" s="109"/>
      <c r="K70" s="105"/>
      <c r="L70" s="92"/>
      <c r="M70" s="92"/>
      <c r="N70" s="92"/>
      <c r="O70" s="92"/>
      <c r="P70" s="92"/>
      <c r="Q70" s="92"/>
      <c r="R70" s="102"/>
      <c r="S70" s="80"/>
      <c r="T70" s="102"/>
      <c r="U70" s="80"/>
      <c r="V70" s="82"/>
    </row>
    <row r="71" ht="49.5" customHeight="1">
      <c r="A71" s="47"/>
      <c r="B71" s="72" t="s">
        <v>241</v>
      </c>
      <c r="C71" s="114" t="s">
        <v>527</v>
      </c>
      <c r="D71" s="115"/>
      <c r="E71" s="116"/>
      <c r="F71" s="159" t="s">
        <v>528</v>
      </c>
      <c r="G71" s="159" t="s">
        <v>529</v>
      </c>
      <c r="H71" s="159" t="s">
        <v>530</v>
      </c>
      <c r="I71" s="159" t="s">
        <v>531</v>
      </c>
      <c r="J71" s="114" t="s">
        <v>532</v>
      </c>
      <c r="K71" s="116"/>
      <c r="L71" s="157"/>
      <c r="M71" s="153"/>
      <c r="N71" s="153"/>
      <c r="O71" s="157"/>
      <c r="P71" s="157"/>
      <c r="Q71" s="157"/>
      <c r="R71" s="159"/>
      <c r="S71" s="153"/>
      <c r="T71" s="159" t="s">
        <v>533</v>
      </c>
      <c r="U71" s="157"/>
      <c r="V71" s="158"/>
    </row>
    <row r="72" ht="19.5" customHeight="1">
      <c r="A72" s="47"/>
      <c r="B72" s="79"/>
      <c r="C72" s="123"/>
      <c r="D72" s="125"/>
      <c r="E72" s="125"/>
      <c r="F72" s="162"/>
      <c r="G72" s="162"/>
      <c r="H72" s="172"/>
      <c r="I72" s="172"/>
      <c r="J72" s="175"/>
      <c r="K72" s="183"/>
      <c r="L72" s="80"/>
      <c r="M72" s="92"/>
      <c r="N72" s="92"/>
      <c r="O72" s="80"/>
      <c r="P72" s="80"/>
      <c r="Q72" s="80"/>
      <c r="R72" s="184"/>
      <c r="S72" s="185"/>
      <c r="T72" s="186"/>
      <c r="U72" s="187"/>
      <c r="V72" s="188"/>
    </row>
    <row r="73" ht="49.5" customHeight="1">
      <c r="A73" s="47"/>
      <c r="B73" s="173" t="s">
        <v>534</v>
      </c>
      <c r="C73" s="114" t="s">
        <v>535</v>
      </c>
      <c r="D73" s="115"/>
      <c r="E73" s="115"/>
      <c r="F73" s="115"/>
      <c r="G73" s="116"/>
      <c r="H73" s="159" t="s">
        <v>536</v>
      </c>
      <c r="I73" s="159" t="s">
        <v>537</v>
      </c>
      <c r="J73" s="159" t="s">
        <v>538</v>
      </c>
      <c r="K73" s="159" t="s">
        <v>539</v>
      </c>
      <c r="L73" s="153"/>
      <c r="M73" s="153"/>
      <c r="N73" s="153"/>
      <c r="O73" s="159" t="s">
        <v>540</v>
      </c>
      <c r="P73" s="159" t="s">
        <v>540</v>
      </c>
      <c r="Q73" s="159" t="s">
        <v>540</v>
      </c>
      <c r="R73" s="189"/>
      <c r="S73" s="190"/>
      <c r="T73" s="190"/>
      <c r="U73" s="190"/>
      <c r="V73" s="191"/>
    </row>
    <row r="74" ht="19.5" customHeight="1">
      <c r="A74" s="47"/>
      <c r="B74" s="79"/>
      <c r="C74" s="172"/>
      <c r="D74" s="162"/>
      <c r="E74" s="162"/>
      <c r="F74" s="162"/>
      <c r="G74" s="163"/>
      <c r="H74" s="144"/>
      <c r="I74" s="144"/>
      <c r="J74" s="175"/>
      <c r="K74" s="127"/>
      <c r="L74" s="92"/>
      <c r="M74" s="92"/>
      <c r="N74" s="92"/>
      <c r="O74" s="134"/>
      <c r="P74" s="134"/>
      <c r="Q74" s="134"/>
      <c r="R74" s="192"/>
      <c r="V74" s="193"/>
    </row>
    <row r="75" ht="49.5" customHeight="1">
      <c r="A75" s="47"/>
      <c r="B75" s="173" t="s">
        <v>541</v>
      </c>
      <c r="C75" s="159" t="s">
        <v>542</v>
      </c>
      <c r="D75" s="159" t="s">
        <v>543</v>
      </c>
      <c r="E75" s="159" t="s">
        <v>544</v>
      </c>
      <c r="F75" s="159" t="s">
        <v>545</v>
      </c>
      <c r="G75" s="153"/>
      <c r="H75" s="153"/>
      <c r="I75" s="157"/>
      <c r="J75" s="114" t="s">
        <v>546</v>
      </c>
      <c r="K75" s="116"/>
      <c r="L75" s="157"/>
      <c r="M75" s="157"/>
      <c r="N75" s="157"/>
      <c r="O75" s="157"/>
      <c r="P75" s="153"/>
      <c r="Q75" s="153"/>
      <c r="R75" s="192"/>
      <c r="V75" s="193"/>
    </row>
    <row r="76" ht="19.5" customHeight="1">
      <c r="A76" s="47"/>
      <c r="B76" s="79"/>
      <c r="C76" s="175"/>
      <c r="D76" s="175"/>
      <c r="E76" s="135"/>
      <c r="F76" s="144"/>
      <c r="G76" s="109"/>
      <c r="H76" s="105"/>
      <c r="I76" s="80"/>
      <c r="J76" s="135"/>
      <c r="K76" s="136"/>
      <c r="L76" s="80"/>
      <c r="M76" s="80"/>
      <c r="N76" s="80"/>
      <c r="O76" s="80"/>
      <c r="P76" s="92"/>
      <c r="Q76" s="92"/>
      <c r="R76" s="192"/>
      <c r="V76" s="193"/>
    </row>
    <row r="77" ht="49.5" customHeight="1">
      <c r="A77" s="47"/>
      <c r="B77" s="173" t="s">
        <v>547</v>
      </c>
      <c r="C77" s="159" t="s">
        <v>549</v>
      </c>
      <c r="D77" s="114" t="s">
        <v>550</v>
      </c>
      <c r="E77" s="114" t="s">
        <v>551</v>
      </c>
      <c r="F77" s="159" t="s">
        <v>552</v>
      </c>
      <c r="G77" s="114" t="s">
        <v>553</v>
      </c>
      <c r="H77" s="116"/>
      <c r="I77" s="159" t="s">
        <v>549</v>
      </c>
      <c r="J77" s="159" t="s">
        <v>554</v>
      </c>
      <c r="K77" s="157"/>
      <c r="L77" s="157"/>
      <c r="M77" s="157"/>
      <c r="N77" s="157"/>
      <c r="O77" s="153"/>
      <c r="P77" s="157"/>
      <c r="Q77" s="157"/>
      <c r="R77" s="192"/>
      <c r="V77" s="193"/>
    </row>
    <row r="78" ht="19.5" customHeight="1">
      <c r="A78" s="47"/>
      <c r="B78" s="79"/>
      <c r="C78" s="175"/>
      <c r="D78" s="176"/>
      <c r="E78" s="176"/>
      <c r="F78" s="136"/>
      <c r="G78" s="175"/>
      <c r="H78" s="127"/>
      <c r="I78" s="144"/>
      <c r="J78" s="144"/>
      <c r="K78" s="80"/>
      <c r="L78" s="80"/>
      <c r="M78" s="80"/>
      <c r="N78" s="80"/>
      <c r="O78" s="92"/>
      <c r="P78" s="80"/>
      <c r="Q78" s="80"/>
      <c r="R78" s="192"/>
      <c r="V78" s="193"/>
    </row>
    <row r="79" ht="49.5" customHeight="1">
      <c r="A79" s="47"/>
      <c r="B79" s="173" t="s">
        <v>555</v>
      </c>
      <c r="C79" s="114" t="s">
        <v>556</v>
      </c>
      <c r="D79" s="115"/>
      <c r="E79" s="115"/>
      <c r="F79" s="116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92"/>
      <c r="V79" s="193"/>
    </row>
    <row r="80" ht="19.5" customHeight="1">
      <c r="A80" s="142"/>
      <c r="B80" s="79"/>
      <c r="C80" s="99" t="s">
        <v>557</v>
      </c>
      <c r="D80" s="99" t="s">
        <v>558</v>
      </c>
      <c r="E80" s="99" t="s">
        <v>559</v>
      </c>
      <c r="F80" s="99" t="s">
        <v>560</v>
      </c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196"/>
      <c r="S80" s="197"/>
      <c r="T80" s="197"/>
      <c r="U80" s="197"/>
      <c r="V80" s="198"/>
    </row>
    <row r="81" ht="23.25" customHeight="1">
      <c r="A81" s="146"/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22"/>
    </row>
    <row r="82" ht="30.0" customHeight="1">
      <c r="A82" s="20" t="s">
        <v>2</v>
      </c>
      <c r="B82" s="22" t="s">
        <v>3</v>
      </c>
      <c r="C82" s="22" t="s">
        <v>4</v>
      </c>
      <c r="D82" s="22" t="s">
        <v>5</v>
      </c>
      <c r="E82" s="22" t="s">
        <v>6</v>
      </c>
      <c r="F82" s="22" t="s">
        <v>8</v>
      </c>
      <c r="G82" s="22" t="s">
        <v>9</v>
      </c>
      <c r="H82" s="22" t="s">
        <v>10</v>
      </c>
      <c r="I82" s="22" t="s">
        <v>11</v>
      </c>
      <c r="J82" s="22" t="s">
        <v>12</v>
      </c>
      <c r="K82" s="22" t="s">
        <v>13</v>
      </c>
      <c r="L82" s="22" t="s">
        <v>14</v>
      </c>
      <c r="M82" s="22" t="s">
        <v>15</v>
      </c>
      <c r="N82" s="22" t="s">
        <v>16</v>
      </c>
      <c r="O82" s="22" t="s">
        <v>17</v>
      </c>
      <c r="P82" s="22" t="s">
        <v>18</v>
      </c>
      <c r="Q82" s="22" t="s">
        <v>19</v>
      </c>
      <c r="R82" s="22" t="s">
        <v>20</v>
      </c>
      <c r="S82" s="22" t="s">
        <v>21</v>
      </c>
      <c r="T82" s="22" t="s">
        <v>22</v>
      </c>
      <c r="U82" s="22" t="s">
        <v>23</v>
      </c>
      <c r="V82" s="24" t="s">
        <v>24</v>
      </c>
    </row>
    <row r="83" ht="49.5" customHeight="1">
      <c r="A83" s="201" t="s">
        <v>586</v>
      </c>
      <c r="B83" s="72" t="s">
        <v>30</v>
      </c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5"/>
    </row>
    <row r="84" ht="19.5" customHeight="1">
      <c r="A84" s="47"/>
      <c r="B84" s="79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100"/>
    </row>
    <row r="85" ht="49.5" customHeight="1">
      <c r="A85" s="47"/>
      <c r="B85" s="72" t="s">
        <v>113</v>
      </c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8"/>
    </row>
    <row r="86" ht="19.5" customHeight="1">
      <c r="A86" s="47"/>
      <c r="B86" s="79"/>
      <c r="C86" s="102"/>
      <c r="D86" s="102"/>
      <c r="E86" s="102"/>
      <c r="F86" s="102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2"/>
    </row>
    <row r="87" ht="49.5" customHeight="1">
      <c r="A87" s="47"/>
      <c r="B87" s="72" t="s">
        <v>140</v>
      </c>
      <c r="C87" s="159" t="s">
        <v>614</v>
      </c>
      <c r="D87" s="159" t="s">
        <v>615</v>
      </c>
      <c r="E87" s="159" t="s">
        <v>616</v>
      </c>
      <c r="F87" s="159" t="s">
        <v>617</v>
      </c>
      <c r="G87" s="157"/>
      <c r="H87" s="157"/>
      <c r="I87" s="153"/>
      <c r="J87" s="153"/>
      <c r="K87" s="157"/>
      <c r="L87" s="157"/>
      <c r="M87" s="153"/>
      <c r="N87" s="153"/>
      <c r="O87" s="153"/>
      <c r="P87" s="153"/>
      <c r="Q87" s="157"/>
      <c r="R87" s="157"/>
      <c r="S87" s="157"/>
      <c r="T87" s="157"/>
      <c r="U87" s="157"/>
      <c r="V87" s="158"/>
    </row>
    <row r="88" ht="19.5" customHeight="1">
      <c r="A88" s="47"/>
      <c r="B88" s="79"/>
      <c r="C88" s="175"/>
      <c r="D88" s="175"/>
      <c r="E88" s="175"/>
      <c r="F88" s="175"/>
      <c r="G88" s="80"/>
      <c r="H88" s="80"/>
      <c r="I88" s="92"/>
      <c r="J88" s="92"/>
      <c r="K88" s="80"/>
      <c r="L88" s="80"/>
      <c r="M88" s="92"/>
      <c r="N88" s="92"/>
      <c r="O88" s="92"/>
      <c r="P88" s="92"/>
      <c r="Q88" s="80"/>
      <c r="R88" s="80"/>
      <c r="S88" s="80"/>
      <c r="T88" s="80"/>
      <c r="U88" s="80"/>
      <c r="V88" s="82"/>
    </row>
    <row r="89" ht="49.5" customHeight="1">
      <c r="A89" s="47"/>
      <c r="B89" s="72" t="s">
        <v>159</v>
      </c>
      <c r="C89" s="153"/>
      <c r="D89" s="153"/>
      <c r="E89" s="153"/>
      <c r="F89" s="153"/>
      <c r="G89" s="157"/>
      <c r="H89" s="157"/>
      <c r="I89" s="157"/>
      <c r="J89" s="157"/>
      <c r="K89" s="157"/>
      <c r="L89" s="153"/>
      <c r="M89" s="157"/>
      <c r="N89" s="153"/>
      <c r="O89" s="153"/>
      <c r="P89" s="153"/>
      <c r="Q89" s="157"/>
      <c r="R89" s="157"/>
      <c r="S89" s="157"/>
      <c r="T89" s="157"/>
      <c r="U89" s="153"/>
      <c r="V89" s="155"/>
    </row>
    <row r="90" ht="19.5" customHeight="1">
      <c r="A90" s="47"/>
      <c r="B90" s="79"/>
      <c r="C90" s="92"/>
      <c r="D90" s="92"/>
      <c r="E90" s="92"/>
      <c r="F90" s="92"/>
      <c r="G90" s="80"/>
      <c r="H90" s="80"/>
      <c r="I90" s="80"/>
      <c r="J90" s="80"/>
      <c r="K90" s="80"/>
      <c r="L90" s="92"/>
      <c r="M90" s="80"/>
      <c r="N90" s="92"/>
      <c r="O90" s="92"/>
      <c r="P90" s="92"/>
      <c r="Q90" s="80"/>
      <c r="R90" s="102"/>
      <c r="S90" s="103"/>
      <c r="T90" s="103"/>
      <c r="U90" s="104"/>
      <c r="V90" s="113"/>
    </row>
    <row r="91" ht="49.5" customHeight="1">
      <c r="A91" s="47"/>
      <c r="B91" s="72" t="s">
        <v>175</v>
      </c>
      <c r="C91" s="153"/>
      <c r="D91" s="153"/>
      <c r="E91" s="157"/>
      <c r="F91" s="157"/>
      <c r="G91" s="153"/>
      <c r="H91" s="157"/>
      <c r="I91" s="157"/>
      <c r="J91" s="157"/>
      <c r="K91" s="157"/>
      <c r="L91" s="157"/>
      <c r="M91" s="157"/>
      <c r="N91" s="157"/>
      <c r="O91" s="157"/>
      <c r="P91" s="157"/>
      <c r="Q91" s="153"/>
      <c r="R91" s="120" t="s">
        <v>634</v>
      </c>
      <c r="S91" s="115"/>
      <c r="T91" s="115"/>
      <c r="U91" s="115"/>
      <c r="V91" s="122"/>
    </row>
    <row r="92" ht="19.5" customHeight="1">
      <c r="A92" s="47"/>
      <c r="B92" s="79"/>
      <c r="C92" s="109"/>
      <c r="D92" s="104"/>
      <c r="E92" s="103"/>
      <c r="F92" s="103"/>
      <c r="G92" s="104"/>
      <c r="H92" s="111"/>
      <c r="I92" s="80"/>
      <c r="J92" s="80"/>
      <c r="K92" s="80"/>
      <c r="L92" s="80"/>
      <c r="M92" s="80"/>
      <c r="N92" s="80"/>
      <c r="O92" s="80"/>
      <c r="P92" s="80"/>
      <c r="Q92" s="92"/>
      <c r="R92" s="206"/>
      <c r="S92" s="207"/>
      <c r="T92" s="207"/>
      <c r="U92" s="207"/>
      <c r="V92" s="209"/>
    </row>
    <row r="93" ht="49.5" customHeight="1">
      <c r="A93" s="47"/>
      <c r="B93" s="72" t="s">
        <v>179</v>
      </c>
      <c r="C93" s="114" t="s">
        <v>650</v>
      </c>
      <c r="D93" s="115"/>
      <c r="E93" s="115"/>
      <c r="F93" s="115"/>
      <c r="G93" s="115"/>
      <c r="H93" s="116"/>
      <c r="I93" s="153"/>
      <c r="J93" s="153"/>
      <c r="K93" s="153"/>
      <c r="L93" s="153"/>
      <c r="M93" s="157"/>
      <c r="N93" s="157"/>
      <c r="O93" s="157"/>
      <c r="P93" s="157"/>
      <c r="Q93" s="157"/>
      <c r="R93" s="157"/>
      <c r="S93" s="157"/>
      <c r="T93" s="157"/>
      <c r="U93" s="157"/>
      <c r="V93" s="155"/>
    </row>
    <row r="94" ht="19.5" customHeight="1">
      <c r="A94" s="47"/>
      <c r="B94" s="79"/>
      <c r="C94" s="123"/>
      <c r="D94" s="125"/>
      <c r="E94" s="125"/>
      <c r="F94" s="125"/>
      <c r="G94" s="125"/>
      <c r="H94" s="126"/>
      <c r="I94" s="92"/>
      <c r="J94" s="92"/>
      <c r="K94" s="92"/>
      <c r="L94" s="92"/>
      <c r="M94" s="80"/>
      <c r="N94" s="80"/>
      <c r="O94" s="80"/>
      <c r="P94" s="80"/>
      <c r="Q94" s="80"/>
      <c r="R94" s="80"/>
      <c r="S94" s="80"/>
      <c r="T94" s="80"/>
      <c r="U94" s="80"/>
      <c r="V94" s="100"/>
    </row>
    <row r="95" ht="49.5" customHeight="1">
      <c r="A95" s="47"/>
      <c r="B95" s="72" t="s">
        <v>184</v>
      </c>
      <c r="C95" s="153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5"/>
    </row>
    <row r="96" ht="19.5" customHeight="1">
      <c r="A96" s="47"/>
      <c r="B96" s="79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109"/>
      <c r="P96" s="104"/>
      <c r="Q96" s="104"/>
      <c r="R96" s="104"/>
      <c r="S96" s="105"/>
      <c r="T96" s="92"/>
      <c r="U96" s="92"/>
      <c r="V96" s="100"/>
    </row>
    <row r="97" ht="49.5" customHeight="1">
      <c r="A97" s="47"/>
      <c r="B97" s="72" t="s">
        <v>196</v>
      </c>
      <c r="C97" s="153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20" t="s">
        <v>661</v>
      </c>
      <c r="P97" s="115"/>
      <c r="Q97" s="115"/>
      <c r="R97" s="115"/>
      <c r="S97" s="116"/>
      <c r="T97" s="157"/>
      <c r="U97" s="157"/>
      <c r="V97" s="158"/>
    </row>
    <row r="98" ht="19.5" customHeight="1">
      <c r="A98" s="47"/>
      <c r="B98" s="79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128"/>
      <c r="P98" s="130"/>
      <c r="Q98" s="130"/>
      <c r="R98" s="130"/>
      <c r="S98" s="212"/>
      <c r="T98" s="80"/>
      <c r="U98" s="80"/>
      <c r="V98" s="82"/>
    </row>
    <row r="99" ht="49.5" customHeight="1">
      <c r="A99" s="47"/>
      <c r="B99" s="72" t="s">
        <v>241</v>
      </c>
      <c r="C99" s="159" t="s">
        <v>663</v>
      </c>
      <c r="D99" s="159" t="s">
        <v>664</v>
      </c>
      <c r="E99" s="159" t="s">
        <v>663</v>
      </c>
      <c r="F99" s="159" t="s">
        <v>663</v>
      </c>
      <c r="G99" s="153"/>
      <c r="H99" s="153"/>
      <c r="I99" s="157"/>
      <c r="J99" s="157"/>
      <c r="K99" s="157"/>
      <c r="L99" s="157"/>
      <c r="M99" s="153"/>
      <c r="N99" s="153"/>
      <c r="O99" s="157"/>
      <c r="P99" s="157"/>
      <c r="Q99" s="157"/>
      <c r="R99" s="157"/>
      <c r="S99" s="153"/>
      <c r="T99" s="153"/>
      <c r="U99" s="157"/>
      <c r="V99" s="158"/>
    </row>
    <row r="100" ht="19.5" customHeight="1">
      <c r="A100" s="47"/>
      <c r="B100" s="79"/>
      <c r="C100" s="175"/>
      <c r="D100" s="169"/>
      <c r="E100" s="176"/>
      <c r="F100" s="127"/>
      <c r="G100" s="109"/>
      <c r="H100" s="105"/>
      <c r="I100" s="80"/>
      <c r="J100" s="80"/>
      <c r="K100" s="102"/>
      <c r="L100" s="103"/>
      <c r="M100" s="105"/>
      <c r="N100" s="92"/>
      <c r="O100" s="80"/>
      <c r="P100" s="80"/>
      <c r="Q100" s="80"/>
      <c r="R100" s="80"/>
      <c r="S100" s="109"/>
      <c r="T100" s="104"/>
      <c r="U100" s="103"/>
      <c r="V100" s="214"/>
    </row>
    <row r="101" ht="49.5" customHeight="1">
      <c r="A101" s="47"/>
      <c r="B101" s="72" t="s">
        <v>247</v>
      </c>
      <c r="C101" s="114" t="s">
        <v>665</v>
      </c>
      <c r="D101" s="115"/>
      <c r="E101" s="115"/>
      <c r="F101" s="116"/>
      <c r="G101" s="114" t="s">
        <v>666</v>
      </c>
      <c r="H101" s="116"/>
      <c r="I101" s="153"/>
      <c r="J101" s="153"/>
      <c r="K101" s="120" t="s">
        <v>667</v>
      </c>
      <c r="L101" s="115"/>
      <c r="M101" s="116"/>
      <c r="N101" s="153"/>
      <c r="O101" s="153"/>
      <c r="P101" s="159" t="s">
        <v>668</v>
      </c>
      <c r="Q101" s="153"/>
      <c r="R101" s="153"/>
      <c r="S101" s="120" t="s">
        <v>669</v>
      </c>
      <c r="T101" s="115"/>
      <c r="U101" s="115"/>
      <c r="V101" s="122"/>
    </row>
    <row r="102" ht="19.5" customHeight="1">
      <c r="A102" s="47"/>
      <c r="B102" s="79"/>
      <c r="C102" s="172"/>
      <c r="D102" s="162"/>
      <c r="E102" s="162"/>
      <c r="F102" s="163"/>
      <c r="G102" s="135"/>
      <c r="H102" s="169"/>
      <c r="I102" s="104"/>
      <c r="J102" s="105"/>
      <c r="K102" s="128"/>
      <c r="L102" s="130"/>
      <c r="M102" s="130"/>
      <c r="N102" s="105"/>
      <c r="O102" s="92"/>
      <c r="P102" s="144"/>
      <c r="Q102" s="92"/>
      <c r="R102" s="92"/>
      <c r="S102" s="128"/>
      <c r="T102" s="130"/>
      <c r="U102" s="130"/>
      <c r="V102" s="131"/>
    </row>
    <row r="103" ht="49.5" customHeight="1">
      <c r="A103" s="47"/>
      <c r="B103" s="72" t="s">
        <v>259</v>
      </c>
      <c r="C103" s="114" t="s">
        <v>672</v>
      </c>
      <c r="D103" s="116"/>
      <c r="E103" s="114" t="s">
        <v>679</v>
      </c>
      <c r="F103" s="116"/>
      <c r="G103" s="114" t="s">
        <v>690</v>
      </c>
      <c r="H103" s="115"/>
      <c r="I103" s="115"/>
      <c r="J103" s="116"/>
      <c r="K103" s="120" t="s">
        <v>667</v>
      </c>
      <c r="L103" s="115"/>
      <c r="M103" s="115"/>
      <c r="N103" s="116"/>
      <c r="O103" s="157"/>
      <c r="P103" s="153"/>
      <c r="Q103" s="159" t="s">
        <v>698</v>
      </c>
      <c r="R103" s="159" t="s">
        <v>698</v>
      </c>
      <c r="S103" s="157"/>
      <c r="T103" s="157"/>
      <c r="U103" s="157"/>
      <c r="V103" s="158"/>
    </row>
    <row r="104" ht="19.5" customHeight="1">
      <c r="A104" s="47"/>
      <c r="B104" s="79"/>
      <c r="C104" s="175"/>
      <c r="D104" s="176"/>
      <c r="E104" s="176"/>
      <c r="F104" s="127"/>
      <c r="G104" s="172"/>
      <c r="H104" s="162"/>
      <c r="I104" s="162"/>
      <c r="J104" s="163"/>
      <c r="K104" s="128"/>
      <c r="L104" s="130"/>
      <c r="M104" s="130"/>
      <c r="N104" s="212"/>
      <c r="O104" s="80"/>
      <c r="P104" s="92"/>
      <c r="Q104" s="144"/>
      <c r="R104" s="144"/>
      <c r="S104" s="80"/>
      <c r="T104" s="80"/>
      <c r="U104" s="80"/>
      <c r="V104" s="82"/>
    </row>
    <row r="105" ht="49.5" customHeight="1">
      <c r="A105" s="47"/>
      <c r="B105" s="72" t="s">
        <v>269</v>
      </c>
      <c r="C105" s="159"/>
      <c r="D105" s="159"/>
      <c r="E105" s="159"/>
      <c r="F105" s="159"/>
      <c r="G105" s="153"/>
      <c r="H105" s="153"/>
      <c r="I105" s="114" t="s">
        <v>704</v>
      </c>
      <c r="J105" s="116"/>
      <c r="K105" s="157"/>
      <c r="L105" s="157"/>
      <c r="M105" s="157"/>
      <c r="N105" s="157"/>
      <c r="O105" s="153"/>
      <c r="P105" s="157"/>
      <c r="Q105" s="157"/>
      <c r="R105" s="159" t="s">
        <v>706</v>
      </c>
      <c r="S105" s="153"/>
      <c r="T105" s="153"/>
      <c r="U105" s="153"/>
      <c r="V105" s="155"/>
    </row>
    <row r="106" ht="19.5" customHeight="1">
      <c r="A106" s="142"/>
      <c r="B106" s="79"/>
      <c r="C106" s="215"/>
      <c r="D106" s="215"/>
      <c r="E106" s="215"/>
      <c r="F106" s="215"/>
      <c r="G106" s="92"/>
      <c r="H106" s="92"/>
      <c r="I106" s="175"/>
      <c r="J106" s="116"/>
      <c r="K106" s="80"/>
      <c r="L106" s="80"/>
      <c r="M106" s="80"/>
      <c r="N106" s="80"/>
      <c r="O106" s="92"/>
      <c r="P106" s="80"/>
      <c r="Q106" s="80"/>
      <c r="R106" s="134"/>
      <c r="S106" s="92"/>
      <c r="T106" s="92"/>
      <c r="U106" s="92"/>
      <c r="V106" s="100"/>
    </row>
    <row r="107" ht="23.25" customHeight="1">
      <c r="A107" s="146"/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22"/>
    </row>
    <row r="108" ht="30.0" customHeight="1">
      <c r="A108" s="20" t="s">
        <v>2</v>
      </c>
      <c r="B108" s="22" t="s">
        <v>3</v>
      </c>
      <c r="C108" s="22" t="s">
        <v>4</v>
      </c>
      <c r="D108" s="22" t="s">
        <v>5</v>
      </c>
      <c r="E108" s="22" t="s">
        <v>6</v>
      </c>
      <c r="F108" s="22" t="s">
        <v>8</v>
      </c>
      <c r="G108" s="22" t="s">
        <v>9</v>
      </c>
      <c r="H108" s="22" t="s">
        <v>10</v>
      </c>
      <c r="I108" s="22" t="s">
        <v>11</v>
      </c>
      <c r="J108" s="22" t="s">
        <v>12</v>
      </c>
      <c r="K108" s="22" t="s">
        <v>13</v>
      </c>
      <c r="L108" s="22" t="s">
        <v>14</v>
      </c>
      <c r="M108" s="22" t="s">
        <v>15</v>
      </c>
      <c r="N108" s="22" t="s">
        <v>16</v>
      </c>
      <c r="O108" s="22" t="s">
        <v>17</v>
      </c>
      <c r="P108" s="22" t="s">
        <v>18</v>
      </c>
      <c r="Q108" s="22" t="s">
        <v>19</v>
      </c>
      <c r="R108" s="22" t="s">
        <v>20</v>
      </c>
      <c r="S108" s="22" t="s">
        <v>21</v>
      </c>
      <c r="T108" s="22" t="s">
        <v>22</v>
      </c>
      <c r="U108" s="22" t="s">
        <v>23</v>
      </c>
      <c r="V108" s="24" t="s">
        <v>24</v>
      </c>
    </row>
    <row r="109" ht="49.5" customHeight="1">
      <c r="A109" s="32" t="s">
        <v>718</v>
      </c>
      <c r="B109" s="72" t="s">
        <v>30</v>
      </c>
      <c r="C109" s="114" t="s">
        <v>722</v>
      </c>
      <c r="D109" s="115"/>
      <c r="E109" s="116"/>
      <c r="F109" s="159" t="s">
        <v>724</v>
      </c>
      <c r="G109" s="159" t="s">
        <v>725</v>
      </c>
      <c r="H109" s="159" t="s">
        <v>724</v>
      </c>
      <c r="I109" s="159" t="s">
        <v>724</v>
      </c>
      <c r="J109" s="159" t="s">
        <v>725</v>
      </c>
      <c r="K109" s="159" t="s">
        <v>724</v>
      </c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5"/>
    </row>
    <row r="110" ht="19.5" customHeight="1">
      <c r="A110" s="47"/>
      <c r="B110" s="79"/>
      <c r="C110" s="123"/>
      <c r="D110" s="125"/>
      <c r="E110" s="125"/>
      <c r="F110" s="136"/>
      <c r="G110" s="134"/>
      <c r="H110" s="134"/>
      <c r="I110" s="134"/>
      <c r="J110" s="134"/>
      <c r="K110" s="134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100"/>
    </row>
    <row r="111" ht="49.5" customHeight="1">
      <c r="A111" s="47"/>
      <c r="B111" s="72" t="s">
        <v>113</v>
      </c>
      <c r="C111" s="114" t="s">
        <v>729</v>
      </c>
      <c r="D111" s="115"/>
      <c r="E111" s="115"/>
      <c r="F111" s="116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8"/>
    </row>
    <row r="112" ht="19.5" customHeight="1">
      <c r="A112" s="47"/>
      <c r="B112" s="79"/>
      <c r="C112" s="123"/>
      <c r="D112" s="125"/>
      <c r="E112" s="125"/>
      <c r="F112" s="126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2"/>
    </row>
    <row r="113" ht="49.5" customHeight="1">
      <c r="A113" s="47"/>
      <c r="B113" s="72" t="s">
        <v>140</v>
      </c>
      <c r="C113" s="153"/>
      <c r="D113" s="153"/>
      <c r="E113" s="153"/>
      <c r="F113" s="153"/>
      <c r="G113" s="157"/>
      <c r="H113" s="157"/>
      <c r="I113" s="153"/>
      <c r="J113" s="153"/>
      <c r="K113" s="157"/>
      <c r="L113" s="157"/>
      <c r="M113" s="153"/>
      <c r="N113" s="153"/>
      <c r="O113" s="153"/>
      <c r="P113" s="153"/>
      <c r="Q113" s="157"/>
      <c r="R113" s="157"/>
      <c r="S113" s="157"/>
      <c r="T113" s="157"/>
      <c r="U113" s="157"/>
      <c r="V113" s="158"/>
    </row>
    <row r="114" ht="19.5" customHeight="1">
      <c r="A114" s="47"/>
      <c r="B114" s="79"/>
      <c r="C114" s="109"/>
      <c r="D114" s="104"/>
      <c r="E114" s="104"/>
      <c r="F114" s="105"/>
      <c r="G114" s="80"/>
      <c r="H114" s="80"/>
      <c r="I114" s="92"/>
      <c r="J114" s="92"/>
      <c r="K114" s="80"/>
      <c r="L114" s="80"/>
      <c r="M114" s="92"/>
      <c r="N114" s="92"/>
      <c r="O114" s="92"/>
      <c r="P114" s="92"/>
      <c r="Q114" s="80"/>
      <c r="R114" s="80"/>
      <c r="S114" s="80"/>
      <c r="T114" s="80"/>
      <c r="U114" s="80"/>
      <c r="V114" s="82"/>
    </row>
    <row r="115" ht="49.5" customHeight="1">
      <c r="A115" s="47"/>
      <c r="B115" s="72" t="s">
        <v>159</v>
      </c>
      <c r="C115" s="114" t="s">
        <v>732</v>
      </c>
      <c r="D115" s="115"/>
      <c r="E115" s="115"/>
      <c r="F115" s="116"/>
      <c r="G115" s="157"/>
      <c r="H115" s="157"/>
      <c r="I115" s="157"/>
      <c r="J115" s="157"/>
      <c r="K115" s="157"/>
      <c r="L115" s="153"/>
      <c r="M115" s="157"/>
      <c r="N115" s="153"/>
      <c r="O115" s="153"/>
      <c r="P115" s="153"/>
      <c r="Q115" s="157"/>
      <c r="R115" s="157"/>
      <c r="S115" s="157"/>
      <c r="T115" s="157"/>
      <c r="U115" s="153"/>
      <c r="V115" s="155"/>
    </row>
    <row r="116" ht="19.5" customHeight="1">
      <c r="A116" s="47"/>
      <c r="B116" s="79"/>
      <c r="C116" s="123"/>
      <c r="D116" s="125"/>
      <c r="E116" s="125"/>
      <c r="F116" s="125"/>
      <c r="G116" s="111"/>
      <c r="H116" s="80"/>
      <c r="I116" s="80"/>
      <c r="J116" s="80"/>
      <c r="K116" s="80"/>
      <c r="L116" s="92"/>
      <c r="M116" s="80"/>
      <c r="N116" s="92"/>
      <c r="O116" s="92"/>
      <c r="P116" s="92"/>
      <c r="Q116" s="80"/>
      <c r="R116" s="80"/>
      <c r="S116" s="80"/>
      <c r="T116" s="80"/>
      <c r="U116" s="92"/>
      <c r="V116" s="100"/>
    </row>
    <row r="117" ht="49.5" customHeight="1">
      <c r="A117" s="47"/>
      <c r="B117" s="72" t="s">
        <v>175</v>
      </c>
      <c r="C117" s="114" t="s">
        <v>733</v>
      </c>
      <c r="D117" s="115"/>
      <c r="E117" s="115"/>
      <c r="F117" s="115"/>
      <c r="G117" s="116"/>
      <c r="H117" s="157"/>
      <c r="I117" s="157"/>
      <c r="J117" s="157"/>
      <c r="K117" s="157"/>
      <c r="L117" s="157"/>
      <c r="M117" s="157"/>
      <c r="N117" s="157"/>
      <c r="O117" s="157"/>
      <c r="P117" s="157"/>
      <c r="Q117" s="153"/>
      <c r="R117" s="153"/>
      <c r="S117" s="157"/>
      <c r="T117" s="157"/>
      <c r="U117" s="157"/>
      <c r="V117" s="158"/>
    </row>
    <row r="118" ht="19.5" customHeight="1">
      <c r="A118" s="47"/>
      <c r="B118" s="79"/>
      <c r="C118" s="123"/>
      <c r="D118" s="125"/>
      <c r="E118" s="125"/>
      <c r="F118" s="125"/>
      <c r="G118" s="125"/>
      <c r="H118" s="111"/>
      <c r="I118" s="80"/>
      <c r="J118" s="80"/>
      <c r="K118" s="80"/>
      <c r="L118" s="80"/>
      <c r="M118" s="80"/>
      <c r="N118" s="80"/>
      <c r="O118" s="80"/>
      <c r="P118" s="80"/>
      <c r="Q118" s="92"/>
      <c r="R118" s="92"/>
      <c r="S118" s="80"/>
      <c r="T118" s="80"/>
      <c r="U118" s="80"/>
      <c r="V118" s="82"/>
    </row>
    <row r="119" ht="49.5" customHeight="1">
      <c r="A119" s="47"/>
      <c r="B119" s="72" t="s">
        <v>179</v>
      </c>
      <c r="C119" s="216" t="s">
        <v>734</v>
      </c>
      <c r="D119" s="216" t="s">
        <v>735</v>
      </c>
      <c r="E119" s="216" t="s">
        <v>736</v>
      </c>
      <c r="F119" s="216" t="s">
        <v>737</v>
      </c>
      <c r="G119" s="217" t="s">
        <v>738</v>
      </c>
      <c r="H119" s="116"/>
      <c r="I119" s="153"/>
      <c r="J119" s="153"/>
      <c r="K119" s="153"/>
      <c r="L119" s="153"/>
      <c r="M119" s="157"/>
      <c r="N119" s="157"/>
      <c r="O119" s="157"/>
      <c r="P119" s="159"/>
      <c r="Q119" s="157"/>
      <c r="R119" s="157"/>
      <c r="S119" s="157"/>
      <c r="T119" s="157"/>
      <c r="U119" s="157"/>
      <c r="V119" s="155"/>
    </row>
    <row r="120" ht="19.5" customHeight="1">
      <c r="A120" s="47"/>
      <c r="B120" s="79"/>
      <c r="C120" s="96" t="s">
        <v>739</v>
      </c>
      <c r="D120" s="96" t="s">
        <v>740</v>
      </c>
      <c r="E120" s="96" t="s">
        <v>741</v>
      </c>
      <c r="F120" s="96" t="s">
        <v>742</v>
      </c>
      <c r="G120" s="218"/>
      <c r="H120" s="219"/>
      <c r="I120" s="92"/>
      <c r="J120" s="92"/>
      <c r="K120" s="92"/>
      <c r="L120" s="92"/>
      <c r="M120" s="80"/>
      <c r="N120" s="80"/>
      <c r="O120" s="80"/>
      <c r="P120" s="144"/>
      <c r="Q120" s="80"/>
      <c r="R120" s="80"/>
      <c r="S120" s="80"/>
      <c r="T120" s="80"/>
      <c r="U120" s="80"/>
      <c r="V120" s="100"/>
    </row>
    <row r="121" ht="49.5" customHeight="1">
      <c r="A121" s="47"/>
      <c r="B121" s="72" t="s">
        <v>184</v>
      </c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5"/>
    </row>
    <row r="122" ht="19.5" customHeight="1">
      <c r="A122" s="47"/>
      <c r="B122" s="79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100"/>
    </row>
    <row r="123" ht="49.5" customHeight="1">
      <c r="A123" s="47"/>
      <c r="B123" s="72" t="s">
        <v>196</v>
      </c>
      <c r="C123" s="153"/>
      <c r="D123" s="153"/>
      <c r="E123" s="153"/>
      <c r="F123" s="153"/>
      <c r="G123" s="153"/>
      <c r="H123" s="153"/>
      <c r="I123" s="153"/>
      <c r="J123" s="153"/>
      <c r="K123" s="153"/>
      <c r="L123" s="153"/>
      <c r="M123" s="153"/>
      <c r="N123" s="153"/>
      <c r="O123" s="153"/>
      <c r="P123" s="153"/>
      <c r="Q123" s="153"/>
      <c r="R123" s="157"/>
      <c r="S123" s="157"/>
      <c r="T123" s="157"/>
      <c r="U123" s="157"/>
      <c r="V123" s="158"/>
    </row>
    <row r="124" ht="19.5" customHeight="1">
      <c r="A124" s="47"/>
      <c r="B124" s="79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80"/>
      <c r="S124" s="80"/>
      <c r="T124" s="80"/>
      <c r="U124" s="80"/>
      <c r="V124" s="82"/>
    </row>
    <row r="125" ht="49.5" customHeight="1">
      <c r="A125" s="47"/>
      <c r="B125" s="72" t="s">
        <v>241</v>
      </c>
      <c r="C125" s="157"/>
      <c r="D125" s="157"/>
      <c r="E125" s="157"/>
      <c r="F125" s="157"/>
      <c r="G125" s="153"/>
      <c r="H125" s="153"/>
      <c r="I125" s="157"/>
      <c r="J125" s="157"/>
      <c r="K125" s="157"/>
      <c r="L125" s="157"/>
      <c r="M125" s="153"/>
      <c r="N125" s="153"/>
      <c r="O125" s="157"/>
      <c r="P125" s="157"/>
      <c r="Q125" s="157"/>
      <c r="R125" s="157"/>
      <c r="S125" s="153"/>
      <c r="T125" s="153"/>
      <c r="U125" s="157"/>
      <c r="V125" s="158"/>
    </row>
    <row r="126" ht="19.5" customHeight="1">
      <c r="A126" s="47"/>
      <c r="B126" s="79"/>
      <c r="C126" s="80"/>
      <c r="D126" s="80"/>
      <c r="E126" s="80"/>
      <c r="F126" s="80"/>
      <c r="G126" s="92"/>
      <c r="H126" s="92"/>
      <c r="I126" s="80"/>
      <c r="J126" s="80"/>
      <c r="K126" s="80"/>
      <c r="L126" s="80"/>
      <c r="M126" s="92"/>
      <c r="N126" s="92"/>
      <c r="O126" s="80"/>
      <c r="P126" s="80"/>
      <c r="Q126" s="80"/>
      <c r="R126" s="80"/>
      <c r="S126" s="92"/>
      <c r="T126" s="92"/>
      <c r="U126" s="80"/>
      <c r="V126" s="82"/>
    </row>
    <row r="127" ht="49.5" customHeight="1">
      <c r="A127" s="47"/>
      <c r="B127" s="72" t="s">
        <v>247</v>
      </c>
      <c r="C127" s="153"/>
      <c r="D127" s="153"/>
      <c r="E127" s="153"/>
      <c r="F127" s="153"/>
      <c r="G127" s="157"/>
      <c r="H127" s="157"/>
      <c r="I127" s="153"/>
      <c r="J127" s="153"/>
      <c r="K127" s="153"/>
      <c r="L127" s="153"/>
      <c r="M127" s="153"/>
      <c r="N127" s="153"/>
      <c r="O127" s="153"/>
      <c r="P127" s="153"/>
      <c r="Q127" s="153"/>
      <c r="R127" s="153"/>
      <c r="S127" s="153"/>
      <c r="T127" s="153"/>
      <c r="U127" s="153"/>
      <c r="V127" s="155"/>
    </row>
    <row r="128" ht="19.5" customHeight="1">
      <c r="A128" s="47"/>
      <c r="B128" s="79"/>
      <c r="C128" s="92"/>
      <c r="D128" s="92"/>
      <c r="E128" s="92"/>
      <c r="F128" s="92"/>
      <c r="G128" s="80"/>
      <c r="H128" s="80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100"/>
    </row>
    <row r="129" ht="49.5" customHeight="1">
      <c r="A129" s="47"/>
      <c r="B129" s="72" t="s">
        <v>259</v>
      </c>
      <c r="C129" s="153"/>
      <c r="D129" s="153"/>
      <c r="E129" s="153"/>
      <c r="F129" s="153"/>
      <c r="G129" s="153"/>
      <c r="H129" s="153"/>
      <c r="I129" s="157"/>
      <c r="J129" s="157"/>
      <c r="K129" s="157"/>
      <c r="L129" s="157"/>
      <c r="M129" s="157"/>
      <c r="N129" s="157"/>
      <c r="O129" s="157"/>
      <c r="P129" s="153"/>
      <c r="Q129" s="153"/>
      <c r="R129" s="157"/>
      <c r="S129" s="157"/>
      <c r="T129" s="157"/>
      <c r="U129" s="157"/>
      <c r="V129" s="158"/>
    </row>
    <row r="130" ht="19.5" customHeight="1">
      <c r="A130" s="47"/>
      <c r="B130" s="79"/>
      <c r="C130" s="222"/>
      <c r="D130" s="222"/>
      <c r="E130" s="222"/>
      <c r="F130" s="222"/>
      <c r="G130" s="222"/>
      <c r="H130" s="222"/>
      <c r="I130" s="223"/>
      <c r="J130" s="223"/>
      <c r="K130" s="223"/>
      <c r="L130" s="223"/>
      <c r="M130" s="223"/>
      <c r="N130" s="223"/>
      <c r="O130" s="223"/>
      <c r="P130" s="222"/>
      <c r="Q130" s="222"/>
      <c r="R130" s="223"/>
      <c r="S130" s="223"/>
      <c r="T130" s="223"/>
      <c r="U130" s="223"/>
      <c r="V130" s="224"/>
    </row>
    <row r="131" ht="49.5" customHeight="1">
      <c r="A131" s="47"/>
      <c r="B131" s="72" t="s">
        <v>269</v>
      </c>
      <c r="C131" s="225"/>
      <c r="D131" s="225"/>
      <c r="E131" s="225"/>
      <c r="F131" s="225"/>
      <c r="G131" s="225"/>
      <c r="H131" s="225"/>
      <c r="I131" s="226"/>
      <c r="J131" s="226"/>
      <c r="K131" s="226"/>
      <c r="L131" s="226"/>
      <c r="M131" s="226"/>
      <c r="N131" s="226"/>
      <c r="O131" s="226"/>
      <c r="P131" s="225"/>
      <c r="Q131" s="225"/>
      <c r="R131" s="226"/>
      <c r="S131" s="226"/>
      <c r="T131" s="226"/>
      <c r="U131" s="226"/>
      <c r="V131" s="227"/>
    </row>
    <row r="132" ht="19.5" customHeight="1">
      <c r="A132" s="228"/>
      <c r="B132" s="229"/>
      <c r="C132" s="230"/>
      <c r="D132" s="230"/>
      <c r="E132" s="230"/>
      <c r="F132" s="230"/>
      <c r="G132" s="230"/>
      <c r="H132" s="230"/>
      <c r="I132" s="230"/>
      <c r="J132" s="230"/>
      <c r="K132" s="231"/>
      <c r="L132" s="231"/>
      <c r="M132" s="231"/>
      <c r="N132" s="231"/>
      <c r="O132" s="230"/>
      <c r="P132" s="231"/>
      <c r="Q132" s="231"/>
      <c r="R132" s="231"/>
      <c r="S132" s="230"/>
      <c r="T132" s="230"/>
      <c r="U132" s="230"/>
      <c r="V132" s="232"/>
    </row>
  </sheetData>
  <mergeCells count="120">
    <mergeCell ref="B125:B126"/>
    <mergeCell ref="B123:B124"/>
    <mergeCell ref="B113:B114"/>
    <mergeCell ref="B109:B110"/>
    <mergeCell ref="B129:B130"/>
    <mergeCell ref="B121:B122"/>
    <mergeCell ref="B119:B120"/>
    <mergeCell ref="B127:B128"/>
    <mergeCell ref="B117:B118"/>
    <mergeCell ref="A109:A132"/>
    <mergeCell ref="B131:B132"/>
    <mergeCell ref="B49:B50"/>
    <mergeCell ref="B41:B42"/>
    <mergeCell ref="B43:B44"/>
    <mergeCell ref="B47:B48"/>
    <mergeCell ref="B51:B52"/>
    <mergeCell ref="B65:B66"/>
    <mergeCell ref="B59:B60"/>
    <mergeCell ref="B57:B58"/>
    <mergeCell ref="B73:B74"/>
    <mergeCell ref="B79:B80"/>
    <mergeCell ref="B75:B76"/>
    <mergeCell ref="B95:B96"/>
    <mergeCell ref="B93:B94"/>
    <mergeCell ref="B91:B92"/>
    <mergeCell ref="B89:B90"/>
    <mergeCell ref="B103:B104"/>
    <mergeCell ref="B105:B106"/>
    <mergeCell ref="B115:B116"/>
    <mergeCell ref="B111:B112"/>
    <mergeCell ref="B11:B12"/>
    <mergeCell ref="B13:B14"/>
    <mergeCell ref="B5:B6"/>
    <mergeCell ref="B23:B24"/>
    <mergeCell ref="B39:B40"/>
    <mergeCell ref="K15:M15"/>
    <mergeCell ref="G15:J15"/>
    <mergeCell ref="B7:B8"/>
    <mergeCell ref="B9:B10"/>
    <mergeCell ref="I21:K21"/>
    <mergeCell ref="C21:F21"/>
    <mergeCell ref="T15:V15"/>
    <mergeCell ref="O17:P17"/>
    <mergeCell ref="H17:I17"/>
    <mergeCell ref="B25:B26"/>
    <mergeCell ref="A27:V27"/>
    <mergeCell ref="C25:F25"/>
    <mergeCell ref="B15:B16"/>
    <mergeCell ref="B19:B20"/>
    <mergeCell ref="B17:B18"/>
    <mergeCell ref="A3:A26"/>
    <mergeCell ref="B3:B4"/>
    <mergeCell ref="B21:B22"/>
    <mergeCell ref="A1:V1"/>
    <mergeCell ref="G103:J103"/>
    <mergeCell ref="K103:N103"/>
    <mergeCell ref="K101:M101"/>
    <mergeCell ref="S101:V101"/>
    <mergeCell ref="C115:F115"/>
    <mergeCell ref="C117:G117"/>
    <mergeCell ref="G119:H119"/>
    <mergeCell ref="C101:F101"/>
    <mergeCell ref="C93:H93"/>
    <mergeCell ref="I106:J106"/>
    <mergeCell ref="I105:J105"/>
    <mergeCell ref="C109:E109"/>
    <mergeCell ref="C111:F111"/>
    <mergeCell ref="E103:F103"/>
    <mergeCell ref="G101:H101"/>
    <mergeCell ref="R91:V91"/>
    <mergeCell ref="O97:S97"/>
    <mergeCell ref="C103:D103"/>
    <mergeCell ref="B67:B68"/>
    <mergeCell ref="B77:B78"/>
    <mergeCell ref="A55:A80"/>
    <mergeCell ref="B71:B72"/>
    <mergeCell ref="B69:B70"/>
    <mergeCell ref="B63:B64"/>
    <mergeCell ref="B61:B62"/>
    <mergeCell ref="B55:B56"/>
    <mergeCell ref="B35:B36"/>
    <mergeCell ref="B29:B30"/>
    <mergeCell ref="B33:B34"/>
    <mergeCell ref="B31:B32"/>
    <mergeCell ref="A29:A52"/>
    <mergeCell ref="B45:B46"/>
    <mergeCell ref="C49:F49"/>
    <mergeCell ref="H41:K41"/>
    <mergeCell ref="T43:V43"/>
    <mergeCell ref="P43:S43"/>
    <mergeCell ref="L45:N45"/>
    <mergeCell ref="A53:V53"/>
    <mergeCell ref="R73:V80"/>
    <mergeCell ref="S65:T65"/>
    <mergeCell ref="U65:V65"/>
    <mergeCell ref="G67:J67"/>
    <mergeCell ref="F65:G65"/>
    <mergeCell ref="C67:F67"/>
    <mergeCell ref="J71:K71"/>
    <mergeCell ref="C71:E71"/>
    <mergeCell ref="J75:K75"/>
    <mergeCell ref="C73:G73"/>
    <mergeCell ref="C59:F59"/>
    <mergeCell ref="C63:F63"/>
    <mergeCell ref="H52:J52"/>
    <mergeCell ref="H51:J51"/>
    <mergeCell ref="I39:K39"/>
    <mergeCell ref="C52:G52"/>
    <mergeCell ref="C51:G51"/>
    <mergeCell ref="B83:B84"/>
    <mergeCell ref="A81:V81"/>
    <mergeCell ref="C79:F79"/>
    <mergeCell ref="G77:H77"/>
    <mergeCell ref="A83:A106"/>
    <mergeCell ref="B99:B100"/>
    <mergeCell ref="B97:B98"/>
    <mergeCell ref="B101:B102"/>
    <mergeCell ref="B87:B88"/>
    <mergeCell ref="B85:B86"/>
    <mergeCell ref="A107:V107"/>
  </mergeCells>
  <hyperlinks>
    <hyperlink r:id="rId1" ref="C3"/>
    <hyperlink r:id="rId2" ref="D3"/>
    <hyperlink r:id="rId3" ref="E3"/>
    <hyperlink r:id="rId4" ref="F3"/>
  </hyperlin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1" defaultRowHeight="15.0"/>
  <cols>
    <col customWidth="1" min="1" max="1" width="7.9"/>
    <col customWidth="1" min="2" max="2" width="7.5"/>
    <col customWidth="1" min="3" max="22" width="21.1"/>
    <col customWidth="1" min="23" max="23" width="21.0"/>
    <col customWidth="1" min="24" max="24" width="21.2"/>
    <col customWidth="1" min="25" max="28" width="21.0"/>
  </cols>
  <sheetData>
    <row r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  <c r="X1" s="3"/>
      <c r="Y1" s="3"/>
      <c r="Z1" s="3"/>
      <c r="AA1" s="3"/>
      <c r="AB1" s="3"/>
    </row>
    <row r="2">
      <c r="A2" s="5" t="s">
        <v>2</v>
      </c>
      <c r="B2" s="5" t="s">
        <v>3</v>
      </c>
      <c r="C2" s="5" t="s">
        <v>4</v>
      </c>
      <c r="D2" s="6" t="s">
        <v>5</v>
      </c>
      <c r="E2" s="7" t="s">
        <v>6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7" t="s">
        <v>15</v>
      </c>
      <c r="N2" s="7" t="s">
        <v>16</v>
      </c>
      <c r="O2" s="7" t="s">
        <v>17</v>
      </c>
      <c r="P2" s="7" t="s">
        <v>18</v>
      </c>
      <c r="Q2" s="7" t="s">
        <v>19</v>
      </c>
      <c r="R2" s="7" t="s">
        <v>20</v>
      </c>
      <c r="S2" s="7" t="s">
        <v>21</v>
      </c>
      <c r="T2" s="7" t="s">
        <v>22</v>
      </c>
      <c r="U2" s="7" t="s">
        <v>23</v>
      </c>
      <c r="V2" s="7" t="s">
        <v>24</v>
      </c>
      <c r="W2" s="7" t="s">
        <v>25</v>
      </c>
      <c r="X2" s="7" t="s">
        <v>26</v>
      </c>
      <c r="Y2" s="7" t="s">
        <v>27</v>
      </c>
      <c r="Z2" s="7" t="s">
        <v>28</v>
      </c>
      <c r="AA2" s="3"/>
      <c r="AB2" s="3"/>
    </row>
    <row r="3">
      <c r="A3" s="6" t="s">
        <v>29</v>
      </c>
      <c r="B3" s="13" t="s">
        <v>30</v>
      </c>
      <c r="C3" s="3" t="s">
        <v>31</v>
      </c>
      <c r="D3" s="15" t="s">
        <v>32</v>
      </c>
      <c r="E3" s="17" t="s">
        <v>32</v>
      </c>
      <c r="F3" s="15" t="s">
        <v>34</v>
      </c>
      <c r="G3" s="17" t="s">
        <v>35</v>
      </c>
      <c r="H3" s="15" t="s">
        <v>34</v>
      </c>
      <c r="I3" s="17" t="s">
        <v>35</v>
      </c>
      <c r="J3" s="15" t="s">
        <v>34</v>
      </c>
      <c r="K3" s="17" t="s">
        <v>36</v>
      </c>
      <c r="L3" s="15" t="s">
        <v>34</v>
      </c>
      <c r="M3" s="17" t="s">
        <v>35</v>
      </c>
      <c r="N3" s="15" t="s">
        <v>32</v>
      </c>
      <c r="O3" s="15" t="s">
        <v>32</v>
      </c>
      <c r="P3" s="17" t="s">
        <v>37</v>
      </c>
      <c r="Q3" s="15" t="s">
        <v>38</v>
      </c>
      <c r="R3" s="17" t="s">
        <v>38</v>
      </c>
      <c r="S3" s="15" t="s">
        <v>32</v>
      </c>
      <c r="T3" s="17" t="s">
        <v>32</v>
      </c>
      <c r="U3" s="15" t="s">
        <v>32</v>
      </c>
      <c r="V3" s="23" t="s">
        <v>32</v>
      </c>
      <c r="W3" s="25" t="s">
        <v>40</v>
      </c>
      <c r="X3" s="25" t="s">
        <v>40</v>
      </c>
      <c r="Y3" s="25" t="s">
        <v>40</v>
      </c>
      <c r="Z3" s="25" t="s">
        <v>40</v>
      </c>
      <c r="AA3" s="3"/>
      <c r="AB3" s="3"/>
    </row>
    <row r="4" ht="30.0" customHeight="1">
      <c r="A4" s="27"/>
      <c r="B4" s="29"/>
      <c r="C4" s="36" t="str">
        <f>HYPERLINK("https://www.youtube.com/watch?v=-0reYkaFuOM","การเตรียมความพร้อม")</f>
        <v>การเตรียมความพร้อม</v>
      </c>
      <c r="D4" s="34" t="str">
        <f>HYPERLINK("https://www.youtube.com/watch?v=nCPXABnb4dc","พยัญชนะไทย ตอน 1")</f>
        <v>พยัญชนะไทย ตอน 1</v>
      </c>
      <c r="E4" s="40" t="str">
        <f>HYPERLINK("https://www.youtube.com/watch?v=6YAuk54ZC0c","พยัญชนะไทย ตอน 2")</f>
        <v>พยัญชนะไทย ตอน 2</v>
      </c>
      <c r="F4" s="34" t="str">
        <f>HYPERLINK("https://www.youtube.com/watch?v=F6XPY-TC_c8","การอ่านสระอา")</f>
        <v>การอ่านสระอา</v>
      </c>
      <c r="G4" s="40" t="str">
        <f>HYPERLINK("https://www.youtube.com/watch?v=DqYDMAN379E","การเขียนสระอา")</f>
        <v>การเขียนสระอา</v>
      </c>
      <c r="H4" s="34" t="str">
        <f>HYPERLINK("https://www.youtube.com/watch?v=wtdCEyqWqyw","การอ่านคำประสมสระอู")</f>
        <v>การอ่านคำประสมสระอู</v>
      </c>
      <c r="I4" s="40" t="str">
        <f>HYPERLINK("https://www.youtube.com/watch?v=rIUnFetcnzY","การเขียนคำประสมสระอู")</f>
        <v>การเขียนคำประสมสระอู</v>
      </c>
      <c r="J4" s="34" t="str">
        <f>HYPERLINK("https://www.youtube.com/watch?v=vheBL9aHRgU","การอ่านคำประสมสระอี")</f>
        <v>การอ่านคำประสมสระอี</v>
      </c>
      <c r="K4" s="40" t="str">
        <f>HYPERLINK("https://www.youtube.com/watch?v=kkdZjtGM8AU","การเขียนคำประสมสระอี")</f>
        <v>การเขียนคำประสมสระอี</v>
      </c>
      <c r="L4" s="34" t="str">
        <f>HYPERLINK("https://www.youtube.com/watch?v=YyUYFqfc8yI","การอ่านสระโอ")</f>
        <v>การอ่านสระโอ</v>
      </c>
      <c r="M4" s="40" t="str">
        <f>HYPERLINK("https://www.youtube.com/watch?v=VBQF-pNAC3w","การเขียนสระโอ")</f>
        <v>การเขียนสระโอ</v>
      </c>
      <c r="N4" s="46" t="s">
        <v>64</v>
      </c>
      <c r="O4" s="46" t="s">
        <v>65</v>
      </c>
      <c r="P4" s="49" t="s">
        <v>66</v>
      </c>
      <c r="Q4" s="55" t="s">
        <v>77</v>
      </c>
      <c r="R4" s="57" t="s">
        <v>84</v>
      </c>
      <c r="S4" s="46" t="s">
        <v>86</v>
      </c>
      <c r="T4" s="49" t="s">
        <v>87</v>
      </c>
      <c r="U4" s="46" t="s">
        <v>88</v>
      </c>
      <c r="V4" s="42" t="s">
        <v>89</v>
      </c>
      <c r="W4" s="48" t="s">
        <v>90</v>
      </c>
      <c r="X4" s="48" t="s">
        <v>91</v>
      </c>
      <c r="Y4" s="48" t="s">
        <v>92</v>
      </c>
      <c r="Z4" s="48" t="s">
        <v>93</v>
      </c>
      <c r="AA4" s="3"/>
      <c r="AB4" s="3"/>
    </row>
    <row r="5">
      <c r="A5" s="27"/>
      <c r="B5" s="29"/>
      <c r="C5" s="3" t="s">
        <v>94</v>
      </c>
      <c r="D5" s="10" t="s">
        <v>94</v>
      </c>
      <c r="E5" s="3" t="s">
        <v>94</v>
      </c>
      <c r="F5" s="10" t="s">
        <v>95</v>
      </c>
      <c r="G5" s="3" t="s">
        <v>95</v>
      </c>
      <c r="H5" s="10" t="s">
        <v>94</v>
      </c>
      <c r="I5" s="3" t="s">
        <v>94</v>
      </c>
      <c r="J5" s="10" t="s">
        <v>94</v>
      </c>
      <c r="K5" s="3" t="s">
        <v>94</v>
      </c>
      <c r="L5" s="10" t="s">
        <v>95</v>
      </c>
      <c r="M5" s="3" t="s">
        <v>95</v>
      </c>
      <c r="N5" s="52" t="s">
        <v>96</v>
      </c>
      <c r="O5" s="52" t="s">
        <v>96</v>
      </c>
      <c r="P5" s="3" t="s">
        <v>94</v>
      </c>
      <c r="Q5" s="3" t="s">
        <v>95</v>
      </c>
      <c r="R5" s="3" t="s">
        <v>95</v>
      </c>
      <c r="S5" s="3" t="s">
        <v>94</v>
      </c>
      <c r="T5" s="60" t="s">
        <v>94</v>
      </c>
      <c r="U5" s="60" t="s">
        <v>94</v>
      </c>
      <c r="V5" s="60" t="s">
        <v>94</v>
      </c>
      <c r="W5" s="62" t="s">
        <v>100</v>
      </c>
      <c r="X5" s="62" t="s">
        <v>100</v>
      </c>
      <c r="Y5" s="62" t="s">
        <v>100</v>
      </c>
      <c r="Z5" s="62" t="s">
        <v>100</v>
      </c>
      <c r="AA5" s="3"/>
      <c r="AB5" s="3"/>
    </row>
    <row r="6">
      <c r="A6" s="27"/>
      <c r="B6" s="29"/>
      <c r="C6" s="3" t="s">
        <v>101</v>
      </c>
      <c r="D6" s="10" t="s">
        <v>101</v>
      </c>
      <c r="E6" s="3" t="s">
        <v>101</v>
      </c>
      <c r="F6" s="10" t="s">
        <v>102</v>
      </c>
      <c r="G6" s="3" t="s">
        <v>102</v>
      </c>
      <c r="H6" s="10" t="s">
        <v>101</v>
      </c>
      <c r="I6" s="3" t="s">
        <v>101</v>
      </c>
      <c r="J6" s="10" t="s">
        <v>101</v>
      </c>
      <c r="K6" s="3" t="s">
        <v>101</v>
      </c>
      <c r="L6" s="10" t="s">
        <v>102</v>
      </c>
      <c r="M6" s="3" t="s">
        <v>102</v>
      </c>
      <c r="N6" s="52" t="s">
        <v>103</v>
      </c>
      <c r="O6" s="52" t="s">
        <v>103</v>
      </c>
      <c r="P6" s="3" t="s">
        <v>101</v>
      </c>
      <c r="Q6" s="3" t="s">
        <v>102</v>
      </c>
      <c r="R6" s="3" t="s">
        <v>102</v>
      </c>
      <c r="S6" s="3" t="s">
        <v>101</v>
      </c>
      <c r="T6" s="60" t="s">
        <v>101</v>
      </c>
      <c r="U6" s="60" t="s">
        <v>101</v>
      </c>
      <c r="V6" s="60" t="s">
        <v>101</v>
      </c>
      <c r="W6" s="62" t="s">
        <v>104</v>
      </c>
      <c r="X6" s="62" t="s">
        <v>104</v>
      </c>
      <c r="Y6" s="62" t="s">
        <v>104</v>
      </c>
      <c r="Z6" s="62" t="s">
        <v>104</v>
      </c>
      <c r="AA6" s="3"/>
      <c r="AB6" s="3"/>
    </row>
    <row r="7">
      <c r="A7" s="27"/>
      <c r="B7" s="29"/>
      <c r="C7" s="3" t="s">
        <v>105</v>
      </c>
      <c r="D7" s="10" t="s">
        <v>105</v>
      </c>
      <c r="E7" s="3" t="s">
        <v>105</v>
      </c>
      <c r="F7" s="10" t="s">
        <v>106</v>
      </c>
      <c r="G7" s="3" t="s">
        <v>106</v>
      </c>
      <c r="H7" s="10" t="s">
        <v>105</v>
      </c>
      <c r="I7" s="3" t="s">
        <v>105</v>
      </c>
      <c r="J7" s="10" t="s">
        <v>105</v>
      </c>
      <c r="K7" s="3" t="s">
        <v>105</v>
      </c>
      <c r="L7" s="10" t="s">
        <v>106</v>
      </c>
      <c r="M7" s="3" t="s">
        <v>106</v>
      </c>
      <c r="N7" s="52" t="s">
        <v>107</v>
      </c>
      <c r="O7" s="52" t="s">
        <v>107</v>
      </c>
      <c r="P7" s="3" t="s">
        <v>105</v>
      </c>
      <c r="Q7" s="3" t="s">
        <v>106</v>
      </c>
      <c r="R7" s="3" t="s">
        <v>106</v>
      </c>
      <c r="S7" s="3" t="s">
        <v>105</v>
      </c>
      <c r="T7" s="60" t="s">
        <v>105</v>
      </c>
      <c r="U7" s="60" t="s">
        <v>105</v>
      </c>
      <c r="V7" s="60" t="s">
        <v>105</v>
      </c>
      <c r="W7" s="62" t="s">
        <v>108</v>
      </c>
      <c r="X7" s="62" t="s">
        <v>108</v>
      </c>
      <c r="Y7" s="62" t="s">
        <v>108</v>
      </c>
      <c r="Z7" s="62" t="s">
        <v>108</v>
      </c>
      <c r="AA7" s="3"/>
      <c r="AB7" s="3"/>
    </row>
    <row r="8">
      <c r="A8" s="27"/>
      <c r="B8" s="29"/>
      <c r="C8" s="67" t="s">
        <v>109</v>
      </c>
      <c r="D8" s="69" t="s">
        <v>85</v>
      </c>
      <c r="E8" s="67" t="s">
        <v>97</v>
      </c>
      <c r="F8" s="69" t="s">
        <v>98</v>
      </c>
      <c r="G8" s="67" t="s">
        <v>114</v>
      </c>
      <c r="H8" s="69" t="s">
        <v>115</v>
      </c>
      <c r="I8" s="67" t="s">
        <v>116</v>
      </c>
      <c r="J8" s="69" t="s">
        <v>117</v>
      </c>
      <c r="K8" s="67" t="s">
        <v>118</v>
      </c>
      <c r="L8" s="69" t="s">
        <v>119</v>
      </c>
      <c r="M8" s="67" t="s">
        <v>121</v>
      </c>
      <c r="N8" s="69" t="s">
        <v>122</v>
      </c>
      <c r="O8" s="69" t="s">
        <v>124</v>
      </c>
      <c r="P8" s="67" t="s">
        <v>125</v>
      </c>
      <c r="Q8" s="69" t="s">
        <v>126</v>
      </c>
      <c r="R8" s="67" t="s">
        <v>127</v>
      </c>
      <c r="S8" s="69" t="s">
        <v>129</v>
      </c>
      <c r="T8" s="78" t="s">
        <v>133</v>
      </c>
      <c r="U8" s="69" t="s">
        <v>134</v>
      </c>
      <c r="V8" s="78" t="s">
        <v>135</v>
      </c>
      <c r="W8" s="78" t="s">
        <v>136</v>
      </c>
      <c r="X8" s="78" t="s">
        <v>137</v>
      </c>
      <c r="Y8" s="78" t="s">
        <v>138</v>
      </c>
      <c r="Z8" s="78" t="s">
        <v>139</v>
      </c>
      <c r="AA8" s="3"/>
      <c r="AB8" s="3"/>
    </row>
    <row r="9">
      <c r="A9" s="27"/>
      <c r="B9" s="79"/>
      <c r="C9" s="83" t="str">
        <f>HYPERLINK("https://drive.google.com/folderview?id=0B0x_dulH5-nEUGk3ZWhESFZ3UGs&amp;usp=sharing","ดาวน์โหลดเอกสารประกอบ")</f>
        <v>ดาวน์โหลดเอกสารประกอบ</v>
      </c>
      <c r="D9" s="89" t="str">
        <f>HYPERLINK("https://drive.google.com/folderview?id=0B0x_dulH5-nEVm5RbWF6UnRId28&amp;usp=sharing","ดาวน์โหลดเอกสารประกอบ")</f>
        <v>ดาวน์โหลดเอกสารประกอบ</v>
      </c>
      <c r="E9" s="93" t="str">
        <f>HYPERLINK("https://drive.google.com/folderview?id=0B0x_dulH5-nES2dMWTB3WG92VDA&amp;usp=sharing","ดาวน์โหลดเอกสารประกอบ")</f>
        <v>ดาวน์โหลดเอกสารประกอบ</v>
      </c>
      <c r="F9" s="94" t="s">
        <v>31</v>
      </c>
      <c r="G9" s="93" t="str">
        <f>HYPERLINK("https://drive.google.com/folderview?id=0B0x_dulH5-nEVmwwc2lSNWJEZVk&amp;usp=sharing","ดาวน์โหลดเอกสารประกอบ")</f>
        <v>ดาวน์โหลดเอกสารประกอบ</v>
      </c>
      <c r="H9" s="97" t="str">
        <f>HYPERLINK("https://drive.google.com/folderview?id=0B0x_dulH5-nEbE13MEZlNVVFS2M&amp;usp=sharing","ดาวน์โหลดเอกสารประกอบ")</f>
        <v>ดาวน์โหลดเอกสารประกอบ</v>
      </c>
      <c r="I9" s="93" t="str">
        <f>HYPERLINK("https://drive.google.com/folderview?id=0B0x_dulH5-nEUFk1SGR3T3Iwb1U&amp;usp=sharing","ดาวน์โหลดเอกสารประกอบ")</f>
        <v>ดาวน์โหลดเอกสารประกอบ</v>
      </c>
      <c r="J9" s="97" t="str">
        <f>HYPERLINK("https://drive.google.com/folderview?id=0B0x_dulH5-nEZWxYNm9oUGtEQmc&amp;usp=sharing","ดาวน์โหลดเอกสารประกอบ")</f>
        <v>ดาวน์โหลดเอกสารประกอบ</v>
      </c>
      <c r="K9" s="93" t="str">
        <f>HYPERLINK("https://drive.google.com/folderview?id=0B0x_dulH5-nEaV9XTkhoQ0VMbUk&amp;usp=sharing","ดาวน์โหลดเอกสารประกอบ")</f>
        <v>ดาวน์โหลดเอกสารประกอบ</v>
      </c>
      <c r="L9" s="94" t="s">
        <v>31</v>
      </c>
      <c r="M9" s="93" t="str">
        <f>HYPERLINK("https://drive.google.com/folderview?id=0B0x_dulH5-nEaldzNDlHbTc0Njg&amp;usp=sharing","ดาวน์โหลดเอกสารประกอบ")</f>
        <v>ดาวน์โหลดเอกสารประกอบ</v>
      </c>
      <c r="N9" s="83" t="str">
        <f>HYPERLINK("https://drive.google.com/folderview?id=0BydHLJgPtYsXU0xfVkU4ZUpTU2M&amp;usp=sharing","ดาวน์โหลดเอกสารประกอบ")</f>
        <v>ดาวน์โหลดเอกสารประกอบ</v>
      </c>
      <c r="O9" s="83" t="str">
        <f>HYPERLINK("https://drive.google.com/folderview?id=0BydHLJgPtYsXam1UTHdiZENrc0k&amp;usp=sharing","ดาวน์โหลดเอกสารประกอบ")</f>
        <v>ดาวน์โหลดเอกสารประกอบ</v>
      </c>
      <c r="P9" s="107" t="str">
        <f>HYPERLINK("https://drive.google.com/folderview?id=0B0x_dulH5-nEfmdPS0Q5UGRMLWQ0eVRPQjEwTDluYVhGZDJXTlNVQlRRX1pwWkR0NEJ5Tnc&amp;usp=sharing","ดาวน์โหลดเอกสารประกอบ")</f>
        <v>ดาวน์โหลดเอกสารประกอบ</v>
      </c>
      <c r="Q9" s="94" t="s">
        <v>31</v>
      </c>
      <c r="R9" s="108" t="s">
        <v>31</v>
      </c>
      <c r="S9" s="94" t="s">
        <v>31</v>
      </c>
      <c r="T9" s="108" t="s">
        <v>31</v>
      </c>
      <c r="U9" s="94" t="s">
        <v>31</v>
      </c>
      <c r="V9" s="112" t="str">
        <f>HYPERLINK("https://drive.google.com/folderview?id=0B0x_dulH5-nEfkotbjZEWmhsa1l4YUdscEdsOUN2bm1oUGVKMGxaRUNLUmRJTlpteUtuOE0&amp;usp=sharing","ดาวน์โหลดเอกสารประกอบ")</f>
        <v>ดาวน์โหลดเอกสารประกอบ</v>
      </c>
      <c r="W9" s="112" t="str">
        <f>HYPERLINK("https://drive.google.com/folderview?id=0B0x_dulH5-nEYUhoSXUwWDc3ejg&amp;usp=sharing","ดาวน์โหลดเอกสารประกอบ")</f>
        <v>ดาวน์โหลดเอกสารประกอบ</v>
      </c>
      <c r="X9" s="112" t="str">
        <f>HYPERLINK("https://drive.google.com/folderview?id=0B0x_dulH5-nEWUF4cGR4TGdzcDg&amp;usp=sharing","ดาวน์โหลดเอกสารประกอบ")</f>
        <v>ดาวน์โหลดเอกสารประกอบ</v>
      </c>
      <c r="Y9" s="112" t="str">
        <f>HYPERLINK("https://drive.google.com/folderview?id=0B0x_dulH5-nEVEdwamY0Vi1Lck0&amp;usp=sharing","ดาวน์โหลดเอกสารประกอบ")</f>
        <v>ดาวน์โหลดเอกสารประกอบ</v>
      </c>
      <c r="Z9" s="112" t="str">
        <f>HYPERLINK("https://drive.google.com/folderview?id=0B0x_dulH5-nENE9YUHJKRU9KbUk&amp;usp=sharing","ดาวน์โหลดเอกสารประกอบ")</f>
        <v>ดาวน์โหลดเอกสารประกอบ</v>
      </c>
      <c r="AA9" s="3"/>
      <c r="AB9" s="3"/>
    </row>
    <row r="10">
      <c r="A10" s="27"/>
      <c r="B10" s="5" t="s">
        <v>3</v>
      </c>
      <c r="C10" s="117" t="s">
        <v>4</v>
      </c>
      <c r="D10" s="119" t="s">
        <v>5</v>
      </c>
      <c r="E10" s="117" t="s">
        <v>6</v>
      </c>
      <c r="F10" s="117" t="s">
        <v>8</v>
      </c>
      <c r="G10" s="117" t="s">
        <v>9</v>
      </c>
      <c r="H10" s="117" t="s">
        <v>10</v>
      </c>
      <c r="I10" s="117" t="s">
        <v>11</v>
      </c>
      <c r="J10" s="117" t="s">
        <v>12</v>
      </c>
      <c r="K10" s="117" t="s">
        <v>13</v>
      </c>
      <c r="L10" s="117" t="s">
        <v>14</v>
      </c>
      <c r="M10" s="117" t="s">
        <v>15</v>
      </c>
      <c r="N10" s="117" t="s">
        <v>16</v>
      </c>
      <c r="O10" s="117" t="s">
        <v>17</v>
      </c>
      <c r="P10" s="117" t="s">
        <v>18</v>
      </c>
      <c r="Q10" s="117" t="s">
        <v>19</v>
      </c>
      <c r="R10" s="117" t="s">
        <v>20</v>
      </c>
      <c r="S10" s="117" t="s">
        <v>21</v>
      </c>
      <c r="T10" s="117" t="s">
        <v>22</v>
      </c>
      <c r="U10" s="117" t="s">
        <v>23</v>
      </c>
      <c r="V10" s="117" t="s">
        <v>24</v>
      </c>
      <c r="W10" s="121" t="s">
        <v>25</v>
      </c>
      <c r="X10" s="121" t="s">
        <v>26</v>
      </c>
      <c r="Y10" s="121" t="s">
        <v>27</v>
      </c>
      <c r="Z10" s="121" t="s">
        <v>28</v>
      </c>
      <c r="AA10" s="3"/>
      <c r="AB10" s="3"/>
    </row>
    <row r="11">
      <c r="A11" s="27"/>
      <c r="B11" s="13" t="s">
        <v>113</v>
      </c>
      <c r="C11" s="21" t="s">
        <v>34</v>
      </c>
      <c r="D11" s="21" t="s">
        <v>34</v>
      </c>
      <c r="E11" s="21" t="s">
        <v>34</v>
      </c>
      <c r="F11" s="26" t="s">
        <v>34</v>
      </c>
      <c r="G11" s="26" t="s">
        <v>34</v>
      </c>
      <c r="H11" s="26" t="s">
        <v>34</v>
      </c>
      <c r="I11" s="26" t="s">
        <v>34</v>
      </c>
      <c r="J11" s="26" t="s">
        <v>34</v>
      </c>
      <c r="K11" s="26" t="s">
        <v>34</v>
      </c>
      <c r="L11" s="26" t="s">
        <v>32</v>
      </c>
      <c r="M11" s="26" t="s">
        <v>32</v>
      </c>
      <c r="N11" s="26" t="s">
        <v>32</v>
      </c>
      <c r="O11" s="26" t="s">
        <v>32</v>
      </c>
      <c r="P11" s="26" t="s">
        <v>32</v>
      </c>
      <c r="Q11" s="26" t="s">
        <v>32</v>
      </c>
      <c r="R11" s="26" t="s">
        <v>32</v>
      </c>
      <c r="S11" s="26" t="s">
        <v>32</v>
      </c>
      <c r="T11" s="26" t="s">
        <v>193</v>
      </c>
      <c r="U11" s="26" t="s">
        <v>193</v>
      </c>
      <c r="V11" s="26" t="s">
        <v>194</v>
      </c>
      <c r="W11" s="124" t="s">
        <v>32</v>
      </c>
      <c r="X11" s="124" t="s">
        <v>32</v>
      </c>
      <c r="Y11" s="124" t="s">
        <v>32</v>
      </c>
      <c r="Z11" s="124" t="s">
        <v>32</v>
      </c>
      <c r="AA11" s="3"/>
      <c r="AB11" s="3"/>
    </row>
    <row r="12" ht="30.0" customHeight="1">
      <c r="A12" s="27"/>
      <c r="B12" s="29"/>
      <c r="C12" s="39" t="str">
        <f>HYPERLINK("https://www.youtube.com/watch?v=QyzMuEvokBQ&amp;feature=youtu.be","""คำที่มีตัวสะกดไม่ตรงตามมาตราแม่กด ตอน 1""")</f>
        <v>"คำที่มีตัวสะกดไม่ตรงตามมาตราแม่กด ตอน 1"</v>
      </c>
      <c r="D12" s="39" t="str">
        <f>HYPERLINK("https://www.youtube.com/watch?v=tBkHoEXhA5g&amp;feature=youtu.be","""คำที่มีตัวสะกดไม่ตรงตามมาตราแม่กด ตอน 2""")</f>
        <v>"คำที่มีตัวสะกดไม่ตรงตามมาตราแม่กด ตอน 2"</v>
      </c>
      <c r="E12" s="39" t="str">
        <f>HYPERLINK("https://www.youtube.com/watch?v=uF2g2osx4ps&amp;feature=youtu.be","คำควบกล้ำแท้")</f>
        <v>คำควบกล้ำแท้</v>
      </c>
      <c r="F12" s="39" t="str">
        <f>HYPERLINK("https://www.youtube.com/watch?v=GtWNVW2UJQo&amp;feature=youtu.be","คำควบกล้ำไม่แท้")</f>
        <v>คำควบกล้ำไม่แท้</v>
      </c>
      <c r="G12" s="46" t="s">
        <v>197</v>
      </c>
      <c r="H12" s="46" t="s">
        <v>198</v>
      </c>
      <c r="I12" s="46" t="s">
        <v>199</v>
      </c>
      <c r="J12" s="46" t="s">
        <v>200</v>
      </c>
      <c r="K12" s="46" t="s">
        <v>202</v>
      </c>
      <c r="L12" s="46" t="s">
        <v>204</v>
      </c>
      <c r="M12" s="46" t="s">
        <v>206</v>
      </c>
      <c r="N12" s="34" t="str">
        <f>HYPERLINK("https://www.youtube.com/watch?v=pRoVL1Fbl6g","คำคล้องจอง ตอน 1")</f>
        <v>คำคล้องจอง ตอน 1</v>
      </c>
      <c r="O12" s="46" t="s">
        <v>210</v>
      </c>
      <c r="P12" s="55" t="s">
        <v>211</v>
      </c>
      <c r="Q12" s="55" t="s">
        <v>212</v>
      </c>
      <c r="R12" s="46" t="s">
        <v>213</v>
      </c>
      <c r="S12" s="46" t="s">
        <v>214</v>
      </c>
      <c r="T12" s="46" t="s">
        <v>215</v>
      </c>
      <c r="U12" s="46" t="s">
        <v>216</v>
      </c>
      <c r="V12" s="46" t="s">
        <v>218</v>
      </c>
      <c r="W12" s="55" t="s">
        <v>219</v>
      </c>
      <c r="X12" s="55" t="s">
        <v>220</v>
      </c>
      <c r="Y12" s="55" t="s">
        <v>221</v>
      </c>
      <c r="Z12" s="55" t="s">
        <v>222</v>
      </c>
      <c r="AA12" s="3"/>
      <c r="AB12" s="3"/>
    </row>
    <row r="13">
      <c r="A13" s="27"/>
      <c r="B13" s="29"/>
      <c r="C13" s="60" t="s">
        <v>94</v>
      </c>
      <c r="D13" s="60" t="s">
        <v>94</v>
      </c>
      <c r="E13" s="60" t="s">
        <v>94</v>
      </c>
      <c r="F13" s="60" t="s">
        <v>94</v>
      </c>
      <c r="G13" s="75" t="s">
        <v>223</v>
      </c>
      <c r="H13" s="75" t="s">
        <v>223</v>
      </c>
      <c r="I13" s="75" t="s">
        <v>223</v>
      </c>
      <c r="J13" s="75" t="s">
        <v>223</v>
      </c>
      <c r="K13" s="75" t="s">
        <v>223</v>
      </c>
      <c r="L13" s="75" t="s">
        <v>224</v>
      </c>
      <c r="M13" s="75" t="s">
        <v>224</v>
      </c>
      <c r="N13" s="10" t="s">
        <v>225</v>
      </c>
      <c r="O13" s="10" t="s">
        <v>225</v>
      </c>
      <c r="P13" s="75" t="s">
        <v>224</v>
      </c>
      <c r="Q13" s="75" t="s">
        <v>224</v>
      </c>
      <c r="R13" s="10" t="s">
        <v>226</v>
      </c>
      <c r="S13" s="10" t="s">
        <v>226</v>
      </c>
      <c r="T13" s="75" t="s">
        <v>227</v>
      </c>
      <c r="U13" s="75" t="s">
        <v>227</v>
      </c>
      <c r="V13" s="75" t="s">
        <v>227</v>
      </c>
      <c r="W13" s="60" t="s">
        <v>94</v>
      </c>
      <c r="X13" s="60" t="s">
        <v>94</v>
      </c>
      <c r="Y13" s="60" t="s">
        <v>94</v>
      </c>
      <c r="Z13" s="60" t="s">
        <v>94</v>
      </c>
      <c r="AA13" s="3"/>
      <c r="AB13" s="3"/>
    </row>
    <row r="14">
      <c r="A14" s="27"/>
      <c r="B14" s="29"/>
      <c r="C14" s="60" t="s">
        <v>101</v>
      </c>
      <c r="D14" s="60" t="s">
        <v>101</v>
      </c>
      <c r="E14" s="60" t="s">
        <v>101</v>
      </c>
      <c r="F14" s="60" t="s">
        <v>101</v>
      </c>
      <c r="G14" s="75" t="s">
        <v>228</v>
      </c>
      <c r="H14" s="75" t="s">
        <v>228</v>
      </c>
      <c r="I14" s="75" t="s">
        <v>228</v>
      </c>
      <c r="J14" s="75" t="s">
        <v>228</v>
      </c>
      <c r="K14" s="75" t="s">
        <v>228</v>
      </c>
      <c r="L14" s="75" t="s">
        <v>229</v>
      </c>
      <c r="M14" s="75" t="s">
        <v>229</v>
      </c>
      <c r="N14" s="10" t="s">
        <v>230</v>
      </c>
      <c r="O14" s="10" t="s">
        <v>230</v>
      </c>
      <c r="P14" s="75" t="s">
        <v>229</v>
      </c>
      <c r="Q14" s="75" t="s">
        <v>229</v>
      </c>
      <c r="R14" s="10" t="s">
        <v>231</v>
      </c>
      <c r="S14" s="10" t="s">
        <v>231</v>
      </c>
      <c r="T14" s="75" t="s">
        <v>232</v>
      </c>
      <c r="U14" s="75" t="s">
        <v>232</v>
      </c>
      <c r="V14" s="75" t="s">
        <v>232</v>
      </c>
      <c r="W14" s="60" t="s">
        <v>101</v>
      </c>
      <c r="X14" s="60" t="s">
        <v>101</v>
      </c>
      <c r="Y14" s="60" t="s">
        <v>101</v>
      </c>
      <c r="Z14" s="60" t="s">
        <v>101</v>
      </c>
      <c r="AA14" s="3"/>
      <c r="AB14" s="3"/>
    </row>
    <row r="15">
      <c r="A15" s="27"/>
      <c r="B15" s="29"/>
      <c r="C15" s="60" t="s">
        <v>105</v>
      </c>
      <c r="D15" s="60" t="s">
        <v>105</v>
      </c>
      <c r="E15" s="60" t="s">
        <v>105</v>
      </c>
      <c r="F15" s="60" t="s">
        <v>105</v>
      </c>
      <c r="G15" s="75" t="s">
        <v>233</v>
      </c>
      <c r="H15" s="75" t="s">
        <v>233</v>
      </c>
      <c r="I15" s="75" t="s">
        <v>233</v>
      </c>
      <c r="J15" s="75" t="s">
        <v>233</v>
      </c>
      <c r="K15" s="75" t="s">
        <v>233</v>
      </c>
      <c r="L15" s="75" t="s">
        <v>234</v>
      </c>
      <c r="M15" s="75" t="s">
        <v>234</v>
      </c>
      <c r="N15" s="10" t="s">
        <v>235</v>
      </c>
      <c r="O15" s="10" t="s">
        <v>235</v>
      </c>
      <c r="P15" s="75" t="s">
        <v>234</v>
      </c>
      <c r="Q15" s="75" t="s">
        <v>234</v>
      </c>
      <c r="R15" s="10" t="s">
        <v>235</v>
      </c>
      <c r="S15" s="10" t="s">
        <v>235</v>
      </c>
      <c r="T15" s="75" t="s">
        <v>236</v>
      </c>
      <c r="U15" s="75" t="s">
        <v>236</v>
      </c>
      <c r="V15" s="75" t="s">
        <v>236</v>
      </c>
      <c r="W15" s="60" t="s">
        <v>105</v>
      </c>
      <c r="X15" s="60" t="s">
        <v>105</v>
      </c>
      <c r="Y15" s="60" t="s">
        <v>105</v>
      </c>
      <c r="Z15" s="60" t="s">
        <v>105</v>
      </c>
      <c r="AA15" s="3"/>
      <c r="AB15" s="3"/>
    </row>
    <row r="16">
      <c r="A16" s="27"/>
      <c r="B16" s="29"/>
      <c r="C16" s="91" t="s">
        <v>237</v>
      </c>
      <c r="D16" s="91" t="s">
        <v>238</v>
      </c>
      <c r="E16" s="91" t="s">
        <v>239</v>
      </c>
      <c r="F16" s="91" t="s">
        <v>240</v>
      </c>
      <c r="G16" s="91" t="s">
        <v>242</v>
      </c>
      <c r="H16" s="91" t="s">
        <v>243</v>
      </c>
      <c r="I16" s="91" t="s">
        <v>245</v>
      </c>
      <c r="J16" s="91" t="s">
        <v>246</v>
      </c>
      <c r="K16" s="91" t="s">
        <v>248</v>
      </c>
      <c r="L16" s="137" t="s">
        <v>249</v>
      </c>
      <c r="M16" s="91" t="s">
        <v>251</v>
      </c>
      <c r="N16" s="91" t="s">
        <v>252</v>
      </c>
      <c r="O16" s="91" t="s">
        <v>254</v>
      </c>
      <c r="P16" s="91" t="s">
        <v>255</v>
      </c>
      <c r="Q16" s="91" t="s">
        <v>256</v>
      </c>
      <c r="R16" s="91" t="s">
        <v>257</v>
      </c>
      <c r="S16" s="91" t="s">
        <v>258</v>
      </c>
      <c r="T16" s="91" t="s">
        <v>260</v>
      </c>
      <c r="U16" s="91" t="s">
        <v>262</v>
      </c>
      <c r="V16" s="91" t="s">
        <v>266</v>
      </c>
      <c r="W16" s="91" t="s">
        <v>267</v>
      </c>
      <c r="X16" s="91" t="s">
        <v>268</v>
      </c>
      <c r="Y16" s="91" t="s">
        <v>270</v>
      </c>
      <c r="Z16" s="91" t="s">
        <v>272</v>
      </c>
      <c r="AA16" s="3"/>
      <c r="AB16" s="3"/>
    </row>
    <row r="17">
      <c r="A17" s="27"/>
      <c r="B17" s="79"/>
      <c r="C17" s="98" t="str">
        <f>HYPERLINK("https://drive.google.com/folderview?id=0B0x_dulH5-nEdFFtMXNwa0hiSUk&amp;usp=sharing","ดาวน์โหลดเอกสารประกอบ")</f>
        <v>ดาวน์โหลดเอกสารประกอบ</v>
      </c>
      <c r="D17" s="110" t="str">
        <f>HYPERLINK("https://drive.google.com/folderview?id=0B0x_dulH5-nENmtGUUQ2ZExTUDA&amp;usp=sharing","ดาวน์โหลดเอกสารประกอบ")</f>
        <v>ดาวน์โหลดเอกสารประกอบ</v>
      </c>
      <c r="E17" s="98" t="str">
        <f>HYPERLINK("https://drive.google.com/folderview?id=0B0x_dulH5-nEc3dIbVVCQ2gwdkU&amp;usp=sharing","ดาวน์โหลดเอกสารประกอบ")</f>
        <v>ดาวน์โหลดเอกสารประกอบ</v>
      </c>
      <c r="F17" s="98" t="str">
        <f>HYPERLINK("https://drive.google.com/folderview?id=0B0x_dulH5-nERFZtX1BtbjdFLTg&amp;usp=sharing","ดาวน์โหลดเอกสารประกอบ")</f>
        <v>ดาวน์โหลดเอกสารประกอบ</v>
      </c>
      <c r="G17" s="98" t="str">
        <f>HYPERLINK("https://drive.google.com/folderview?id=0B0x_dulH5-nEflV4RzF4bHBWaVYwSDBhM3hEUlB4bEx6d0VUa1RPTFVvb01Gbl96enlNOW8&amp;usp=sharing","ดาวน์โหลดเอกสารประกอบ")</f>
        <v>ดาวน์โหลดเอกสารประกอบ</v>
      </c>
      <c r="H17" s="152" t="s">
        <v>31</v>
      </c>
      <c r="I17" s="98" t="str">
        <f>HYPERLINK("https://drive.google.com/folderview?id=0B0x_dulH5-nEfmNob0hNWHlzanZLeHFxV09OYjJWT2hqN2R0MURGaHhaa0NFRE5Xa3FVeWM&amp;usp=sharing","ดาวน์โหลดเอกสารประกอบ")</f>
        <v>ดาวน์โหลดเอกสารประกอบ</v>
      </c>
      <c r="J17" s="98" t="str">
        <f>HYPERLINK("https://drive.google.com/folderview?id=0B0x_dulH5-nEfk5UdjJOVkZHdE8tZUh5WS1JZEJEYUFSbmVTaXF2Yk5uell6aEFpNW1rWDA&amp;usp=sharing","ดาวน์โหลดเอกสารประกอบ")</f>
        <v>ดาวน์โหลดเอกสารประกอบ</v>
      </c>
      <c r="K17" s="98" t="str">
        <f>HYPERLINK("https://drive.google.com/folderview?id=0B0x_dulH5-nEfmxzMEhzbHNXWUpiM2tqYnlIRE9FbHNRaC1mdHJBZnFkU1pNdlZqVEU5aTg&amp;usp=sharing","ดาวน์โหลดเอกสารประกอบ")</f>
        <v>ดาวน์โหลดเอกสารประกอบ</v>
      </c>
      <c r="L17" s="83" t="str">
        <f>HYPERLINK("https://drive.google.com/folderview?id=0BydHLJgPtYsXYlRrVTZqaXRPY0k&amp;usp=sharing","ดาวน์โหลดเอกสารประกอบ")</f>
        <v>ดาวน์โหลดเอกสารประกอบ</v>
      </c>
      <c r="M17" s="98" t="str">
        <f>HYPERLINK("https://drive.google.com/folderview?id=0BydHLJgPtYsXZExoVXh2S1VSa2s&amp;usp=sharing","ดาวน์โหลดเอกสารประกอบ")</f>
        <v>ดาวน์โหลดเอกสารประกอบ</v>
      </c>
      <c r="N17" s="98" t="str">
        <f>HYPERLINK("https://drive.google.com/folderview?id=0BydHLJgPtYsXfmZpaWdHZmhmQXl5ai03MURqUlhRT19pa0IxVnF3VnhYdE5NNGFuOVkxUzQ&amp;usp=sharing","ดาวน์โหลดเอกสารประกอบ")</f>
        <v>ดาวน์โหลดเอกสารประกอบ</v>
      </c>
      <c r="O17" s="98" t="str">
        <f>HYPERLINK("https://drive.google.com/folderview?id=0BydHLJgPtYsXfktqR3hBQ3RKb3RSbkJNNkhwbjQ3Uy1ndUNHbE1LUFRVX0R4dEQxZ2pweGM&amp;usp=sharing","ดาวน์โหลดเอกสารประกอบ")</f>
        <v>ดาวน์โหลดเอกสารประกอบ</v>
      </c>
      <c r="P17" s="98" t="str">
        <f>HYPERLINK("https://drive.google.com/folderview?id=0BydHLJgPtYsXbjZfNG9OMVdkZzA&amp;usp=sharing","ดาวน์โหลดเอกสารประกอบ")</f>
        <v>ดาวน์โหลดเอกสารประกอบ</v>
      </c>
      <c r="Q17" s="98" t="str">
        <f>HYPERLINK("https://drive.google.com/folderview?id=0BydHLJgPtYsXQ1I4NDBibTRDXzg&amp;usp=sharing","ดาวน์โหลดเอกสารประกอบ")</f>
        <v>ดาวน์โหลดเอกสารประกอบ</v>
      </c>
      <c r="R17" s="98" t="str">
        <f>HYPERLINK("https://drive.google.com/folderview?id=0BydHLJgPtYsXfkpZYUp2T1d5NW1iY3poRzNzVnotbGJzRVlycmthT3ZmQS03NFctRlU3Tm8&amp;usp=sharing","ดาวน์โหลดเอกสารประกอบ")</f>
        <v>ดาวน์โหลดเอกสารประกอบ</v>
      </c>
      <c r="S17" s="98" t="str">
        <f>HYPERLINK("https://drive.google.com/folderview?id=0BydHLJgPtYsXfmlaY1UwbzhDaDZOMm05WjRmVWFnMHU4Y25XRkMwOTVpZk5xWG1fNjVtalU&amp;usp=sharing","ดาวน์โหลดเอกสารประกอบ")</f>
        <v>ดาวน์โหลดเอกสารประกอบ</v>
      </c>
      <c r="T17" s="98" t="str">
        <f>HYPERLINK("https://drive.google.com/folderview?id=0B4mky1MMW8dYfmZIY1dJbEpnN01QYjJvcDFRX21kU0prdEctWFZMUi1xanN3M2FvbkI3bnM&amp;usp=sharing","ดาวน์โหลดเอกสารประกอบ")</f>
        <v>ดาวน์โหลดเอกสารประกอบ</v>
      </c>
      <c r="U17" s="98" t="str">
        <f>HYPERLINK("https://drive.google.com/folderview?id=0B4mky1MMW8dYfkx2YnM1UmhBNUx4cDFsZ2Q4VVRUVW12VkFReGRjN29oMkMyQi1sZHktRHc&amp;usp=sharing","ดาวน์โหลดเอกสารประกอบ")</f>
        <v>ดาวน์โหลดเอกสารประกอบ</v>
      </c>
      <c r="V17" s="98" t="str">
        <f>HYPERLINK("https://drive.google.com/folderview?id=0B4mky1MMW8dYfndkbFBLeXRROU5PbzlaTjZWN3lYMWhCTVlweFJCY3dSdlNyak1hZENELUU&amp;usp=sharing","ดาวน์โหลดเอกสารประกอบ")</f>
        <v>ดาวน์โหลดเอกสารประกอบ</v>
      </c>
      <c r="W17" s="129" t="s">
        <v>31</v>
      </c>
      <c r="X17" s="129" t="s">
        <v>31</v>
      </c>
      <c r="Y17" s="129" t="s">
        <v>31</v>
      </c>
      <c r="Z17" s="129" t="s">
        <v>31</v>
      </c>
      <c r="AA17" s="3"/>
      <c r="AB17" s="3"/>
    </row>
    <row r="18">
      <c r="A18" s="27"/>
      <c r="B18" s="5" t="s">
        <v>3</v>
      </c>
      <c r="C18" s="5" t="s">
        <v>4</v>
      </c>
      <c r="D18" s="12" t="s">
        <v>5</v>
      </c>
      <c r="E18" s="5" t="s">
        <v>6</v>
      </c>
      <c r="F18" s="5" t="s">
        <v>8</v>
      </c>
      <c r="G18" s="5" t="s">
        <v>9</v>
      </c>
      <c r="H18" s="5" t="s">
        <v>10</v>
      </c>
      <c r="I18" s="5" t="s">
        <v>11</v>
      </c>
      <c r="J18" s="5" t="s">
        <v>12</v>
      </c>
      <c r="K18" s="5" t="s">
        <v>13</v>
      </c>
      <c r="L18" s="5" t="s">
        <v>14</v>
      </c>
      <c r="M18" s="5" t="s">
        <v>15</v>
      </c>
      <c r="N18" s="5" t="s">
        <v>16</v>
      </c>
      <c r="O18" s="5" t="s">
        <v>17</v>
      </c>
      <c r="P18" s="5" t="s">
        <v>18</v>
      </c>
      <c r="Q18" s="5" t="s">
        <v>19</v>
      </c>
      <c r="R18" s="5" t="s">
        <v>20</v>
      </c>
      <c r="S18" s="5" t="s">
        <v>21</v>
      </c>
      <c r="T18" s="5" t="s">
        <v>22</v>
      </c>
      <c r="U18" s="5" t="s">
        <v>23</v>
      </c>
      <c r="V18" s="5" t="s">
        <v>24</v>
      </c>
      <c r="W18" s="16" t="s">
        <v>25</v>
      </c>
      <c r="X18" s="166" t="s">
        <v>26</v>
      </c>
      <c r="Y18" s="166" t="s">
        <v>27</v>
      </c>
      <c r="Z18" s="166" t="s">
        <v>28</v>
      </c>
      <c r="AA18" s="166" t="s">
        <v>358</v>
      </c>
      <c r="AB18" s="166" t="s">
        <v>360</v>
      </c>
    </row>
    <row r="19">
      <c r="A19" s="27"/>
      <c r="B19" s="13" t="s">
        <v>140</v>
      </c>
      <c r="C19" s="21" t="s">
        <v>364</v>
      </c>
      <c r="D19" s="21" t="s">
        <v>364</v>
      </c>
      <c r="E19" s="21" t="s">
        <v>364</v>
      </c>
      <c r="F19" s="21" t="s">
        <v>364</v>
      </c>
      <c r="G19" s="21" t="s">
        <v>364</v>
      </c>
      <c r="H19" s="21" t="s">
        <v>364</v>
      </c>
      <c r="I19" s="21" t="s">
        <v>365</v>
      </c>
      <c r="J19" s="21" t="s">
        <v>365</v>
      </c>
      <c r="K19" s="21" t="s">
        <v>365</v>
      </c>
      <c r="L19" s="21" t="s">
        <v>365</v>
      </c>
      <c r="M19" s="21" t="s">
        <v>365</v>
      </c>
      <c r="N19" s="21" t="s">
        <v>365</v>
      </c>
      <c r="O19" s="21" t="s">
        <v>365</v>
      </c>
      <c r="P19" s="21" t="s">
        <v>365</v>
      </c>
      <c r="Q19" s="21" t="s">
        <v>365</v>
      </c>
      <c r="R19" s="21" t="s">
        <v>365</v>
      </c>
      <c r="S19" s="21" t="s">
        <v>366</v>
      </c>
      <c r="T19" s="21" t="s">
        <v>366</v>
      </c>
      <c r="U19" s="21" t="s">
        <v>366</v>
      </c>
      <c r="V19" s="21" t="s">
        <v>366</v>
      </c>
      <c r="W19" s="168" t="s">
        <v>32</v>
      </c>
      <c r="X19" s="168" t="s">
        <v>32</v>
      </c>
      <c r="Y19" s="168" t="s">
        <v>32</v>
      </c>
      <c r="Z19" s="168" t="s">
        <v>32</v>
      </c>
      <c r="AA19" s="168" t="s">
        <v>36</v>
      </c>
      <c r="AB19" s="168" t="s">
        <v>36</v>
      </c>
    </row>
    <row r="20" ht="60.0" customHeight="1">
      <c r="A20" s="27"/>
      <c r="B20" s="29"/>
      <c r="C20" s="34" t="str">
        <f>HYPERLINK("https://www.youtube.com/watch?v=QRItdZ59s2Q","การตั้งคำถาม ตอบคำถาม จากการอ่านเชิงเหตุผล ตอน 1")</f>
        <v>การตั้งคำถาม ตอบคำถาม จากการอ่านเชิงเหตุผล ตอน 1</v>
      </c>
      <c r="D20" s="34" t="str">
        <f>HYPERLINK("https://www.youtube.com/watch?v=h1pcuTgA7is","การตั้งคำถาม ตอบคำถาม จากการอ่านเชิงเหตุผล ตอน 2")</f>
        <v>การตั้งคำถาม ตอบคำถาม จากการอ่านเชิงเหตุผล ตอน 2</v>
      </c>
      <c r="E20" s="34" t="str">
        <f>HYPERLINK("https://www.youtube.com/watch?v=J3Ff0euPja0","ลำดับ/คาดคะเนเหตุการณ์ จากเรื่องที่อ่าน ตอน 1")</f>
        <v>ลำดับ/คาดคะเนเหตุการณ์ จากเรื่องที่อ่าน ตอน 1</v>
      </c>
      <c r="F20" s="34" t="str">
        <f>HYPERLINK("https://www.youtube.com/watch?v=b1ou7YAUq1o","ลำดับ/คาดคะเนเหตุการณ์ จากเรื่องที่อ่าน ตอน 2")</f>
        <v>ลำดับ/คาดคะเนเหตุการณ์ จากเรื่องที่อ่าน ตอน 2</v>
      </c>
      <c r="G20" s="171" t="s">
        <v>370</v>
      </c>
      <c r="H20" s="55" t="s">
        <v>371</v>
      </c>
      <c r="I20" s="46" t="s">
        <v>372</v>
      </c>
      <c r="J20" s="46" t="s">
        <v>373</v>
      </c>
      <c r="K20" s="46" t="s">
        <v>374</v>
      </c>
      <c r="L20" s="46" t="s">
        <v>375</v>
      </c>
      <c r="M20" s="46" t="s">
        <v>376</v>
      </c>
      <c r="N20" s="46" t="s">
        <v>377</v>
      </c>
      <c r="O20" s="46" t="s">
        <v>378</v>
      </c>
      <c r="P20" s="46" t="s">
        <v>379</v>
      </c>
      <c r="Q20" s="46" t="s">
        <v>380</v>
      </c>
      <c r="R20" s="46" t="s">
        <v>381</v>
      </c>
      <c r="S20" s="55" t="s">
        <v>382</v>
      </c>
      <c r="T20" s="55" t="s">
        <v>383</v>
      </c>
      <c r="U20" s="55" t="s">
        <v>384</v>
      </c>
      <c r="V20" s="46" t="s">
        <v>386</v>
      </c>
      <c r="W20" s="171" t="s">
        <v>387</v>
      </c>
      <c r="X20" s="171" t="s">
        <v>388</v>
      </c>
      <c r="Y20" s="171" t="s">
        <v>389</v>
      </c>
      <c r="Z20" s="171" t="s">
        <v>390</v>
      </c>
      <c r="AA20" s="171" t="s">
        <v>391</v>
      </c>
      <c r="AB20" s="171" t="s">
        <v>392</v>
      </c>
    </row>
    <row r="21">
      <c r="A21" s="27"/>
      <c r="B21" s="29"/>
      <c r="C21" s="10" t="s">
        <v>393</v>
      </c>
      <c r="D21" s="10" t="s">
        <v>393</v>
      </c>
      <c r="E21" s="10" t="s">
        <v>393</v>
      </c>
      <c r="F21" s="10" t="s">
        <v>393</v>
      </c>
      <c r="G21" s="52" t="s">
        <v>394</v>
      </c>
      <c r="H21" s="54" t="s">
        <v>394</v>
      </c>
      <c r="I21" s="54" t="s">
        <v>395</v>
      </c>
      <c r="J21" s="52" t="s">
        <v>395</v>
      </c>
      <c r="K21" s="54" t="s">
        <v>394</v>
      </c>
      <c r="L21" s="54" t="s">
        <v>394</v>
      </c>
      <c r="M21" s="10" t="s">
        <v>393</v>
      </c>
      <c r="N21" s="10" t="s">
        <v>393</v>
      </c>
      <c r="O21" s="10" t="s">
        <v>393</v>
      </c>
      <c r="P21" s="10" t="s">
        <v>393</v>
      </c>
      <c r="Q21" s="75" t="s">
        <v>396</v>
      </c>
      <c r="R21" s="75" t="s">
        <v>396</v>
      </c>
      <c r="S21" s="54" t="s">
        <v>394</v>
      </c>
      <c r="T21" s="54" t="s">
        <v>394</v>
      </c>
      <c r="U21" s="54" t="s">
        <v>394</v>
      </c>
      <c r="V21" s="54" t="s">
        <v>394</v>
      </c>
      <c r="W21" s="10" t="s">
        <v>393</v>
      </c>
      <c r="X21" s="10" t="s">
        <v>393</v>
      </c>
      <c r="Y21" s="10" t="s">
        <v>393</v>
      </c>
      <c r="Z21" s="10" t="s">
        <v>393</v>
      </c>
      <c r="AA21" s="10" t="s">
        <v>393</v>
      </c>
      <c r="AB21" s="10" t="s">
        <v>393</v>
      </c>
    </row>
    <row r="22">
      <c r="A22" s="27"/>
      <c r="B22" s="29"/>
      <c r="C22" s="10" t="s">
        <v>397</v>
      </c>
      <c r="D22" s="10" t="s">
        <v>397</v>
      </c>
      <c r="E22" s="10" t="s">
        <v>397</v>
      </c>
      <c r="F22" s="10" t="s">
        <v>397</v>
      </c>
      <c r="G22" s="52" t="s">
        <v>399</v>
      </c>
      <c r="H22" s="54" t="s">
        <v>399</v>
      </c>
      <c r="I22" s="54" t="s">
        <v>400</v>
      </c>
      <c r="J22" s="52" t="s">
        <v>400</v>
      </c>
      <c r="K22" s="54" t="s">
        <v>399</v>
      </c>
      <c r="L22" s="54" t="s">
        <v>399</v>
      </c>
      <c r="M22" s="10" t="s">
        <v>397</v>
      </c>
      <c r="N22" s="10" t="s">
        <v>397</v>
      </c>
      <c r="O22" s="10" t="s">
        <v>397</v>
      </c>
      <c r="P22" s="10" t="s">
        <v>397</v>
      </c>
      <c r="Q22" s="75" t="s">
        <v>403</v>
      </c>
      <c r="R22" s="75" t="s">
        <v>403</v>
      </c>
      <c r="S22" s="54" t="s">
        <v>399</v>
      </c>
      <c r="T22" s="54" t="s">
        <v>399</v>
      </c>
      <c r="U22" s="54" t="s">
        <v>399</v>
      </c>
      <c r="V22" s="54" t="s">
        <v>399</v>
      </c>
      <c r="W22" s="10" t="s">
        <v>397</v>
      </c>
      <c r="X22" s="10" t="s">
        <v>397</v>
      </c>
      <c r="Y22" s="10" t="s">
        <v>397</v>
      </c>
      <c r="Z22" s="10" t="s">
        <v>397</v>
      </c>
      <c r="AA22" s="10" t="s">
        <v>397</v>
      </c>
      <c r="AB22" s="10" t="s">
        <v>397</v>
      </c>
    </row>
    <row r="23">
      <c r="A23" s="27"/>
      <c r="B23" s="29"/>
      <c r="C23" s="10" t="s">
        <v>404</v>
      </c>
      <c r="D23" s="10" t="s">
        <v>404</v>
      </c>
      <c r="E23" s="10" t="s">
        <v>404</v>
      </c>
      <c r="F23" s="10" t="s">
        <v>404</v>
      </c>
      <c r="G23" s="52" t="s">
        <v>405</v>
      </c>
      <c r="H23" s="54" t="s">
        <v>405</v>
      </c>
      <c r="I23" s="54" t="s">
        <v>406</v>
      </c>
      <c r="J23" s="52" t="s">
        <v>406</v>
      </c>
      <c r="K23" s="54" t="s">
        <v>405</v>
      </c>
      <c r="L23" s="54" t="s">
        <v>405</v>
      </c>
      <c r="M23" s="10" t="s">
        <v>404</v>
      </c>
      <c r="N23" s="10" t="s">
        <v>404</v>
      </c>
      <c r="O23" s="10" t="s">
        <v>404</v>
      </c>
      <c r="P23" s="10" t="s">
        <v>404</v>
      </c>
      <c r="Q23" s="75" t="s">
        <v>234</v>
      </c>
      <c r="R23" s="75" t="s">
        <v>234</v>
      </c>
      <c r="S23" s="54" t="s">
        <v>405</v>
      </c>
      <c r="T23" s="54" t="s">
        <v>405</v>
      </c>
      <c r="U23" s="54" t="s">
        <v>405</v>
      </c>
      <c r="V23" s="54" t="s">
        <v>405</v>
      </c>
      <c r="W23" s="75" t="s">
        <v>408</v>
      </c>
      <c r="X23" s="75" t="s">
        <v>408</v>
      </c>
      <c r="Y23" s="75" t="s">
        <v>408</v>
      </c>
      <c r="Z23" s="75" t="s">
        <v>408</v>
      </c>
      <c r="AA23" s="75" t="s">
        <v>408</v>
      </c>
      <c r="AB23" s="75" t="s">
        <v>408</v>
      </c>
    </row>
    <row r="24">
      <c r="A24" s="27"/>
      <c r="B24" s="29"/>
      <c r="C24" s="91" t="s">
        <v>409</v>
      </c>
      <c r="D24" s="91" t="s">
        <v>410</v>
      </c>
      <c r="E24" s="91" t="s">
        <v>411</v>
      </c>
      <c r="F24" s="98" t="s">
        <v>413</v>
      </c>
      <c r="G24" s="91" t="s">
        <v>415</v>
      </c>
      <c r="H24" s="91" t="s">
        <v>417</v>
      </c>
      <c r="I24" s="91" t="s">
        <v>419</v>
      </c>
      <c r="J24" s="91" t="s">
        <v>420</v>
      </c>
      <c r="K24" s="91" t="s">
        <v>421</v>
      </c>
      <c r="L24" s="91" t="s">
        <v>422</v>
      </c>
      <c r="M24" s="91" t="s">
        <v>423</v>
      </c>
      <c r="N24" s="91" t="s">
        <v>426</v>
      </c>
      <c r="O24" s="91" t="s">
        <v>427</v>
      </c>
      <c r="P24" s="91" t="s">
        <v>431</v>
      </c>
      <c r="Q24" s="91" t="s">
        <v>434</v>
      </c>
      <c r="R24" s="91" t="s">
        <v>435</v>
      </c>
      <c r="S24" s="91" t="s">
        <v>436</v>
      </c>
      <c r="T24" s="91" t="s">
        <v>437</v>
      </c>
      <c r="U24" s="91" t="s">
        <v>438</v>
      </c>
      <c r="V24" s="91" t="s">
        <v>439</v>
      </c>
      <c r="W24" s="91" t="s">
        <v>440</v>
      </c>
      <c r="X24" s="91" t="s">
        <v>441</v>
      </c>
      <c r="Y24" s="91" t="s">
        <v>442</v>
      </c>
      <c r="Z24" s="91" t="s">
        <v>443</v>
      </c>
      <c r="AA24" s="91" t="s">
        <v>444</v>
      </c>
      <c r="AB24" s="91" t="s">
        <v>445</v>
      </c>
    </row>
    <row r="25">
      <c r="A25" s="27"/>
      <c r="B25" s="79"/>
      <c r="C25" s="98" t="str">
        <f>HYPERLINK("https://drive.google.com/file/d/0B4mky1MMW8dYLXRUbW1iaFE4NHM/view?usp=sharing","ดาวน์โหลดเอกสารประกอบ")</f>
        <v>ดาวน์โหลดเอกสารประกอบ</v>
      </c>
      <c r="D25" s="110" t="str">
        <f>HYPERLINK("https://drive.google.com/folderview?id=0B4mky1MMW8dYfkRZQm80Y1g0OWJlS3dvLXpleHkyY25GRTJaT0dmYnFXQWRwYTZkZGJhWW8&amp;usp=sharing","ดาวน์โหลดเอกสารประกอบ")</f>
        <v>ดาวน์โหลดเอกสารประกอบ</v>
      </c>
      <c r="E25" s="98" t="str">
        <f>HYPERLINK("https://drive.google.com/folderview?id=0B4mky1MMW8dYfndMYl8wZ3BlSjhYU1hGeXVWUWI4VjVMMjZkVTAxLW9FeUtkVkZDSFB5R00&amp;usp=sharing","ดาวน์โหลดเอกสารประกอบ")</f>
        <v>ดาวน์โหลดเอกสารประกอบ</v>
      </c>
      <c r="F25" s="98" t="str">
        <f>HYPERLINK("https://drive.google.com/folderview?id=0B4mky1MMW8dYfjVFaVNXLXlCUGZqVF9aZnl3WTdqMU5vSzVKNzVvOGhlSENVeVVxNTVmOVE&amp;usp=sharing","ดาวน์โหลดเอกสารประกอบ")</f>
        <v>ดาวน์โหลดเอกสารประกอบ</v>
      </c>
      <c r="G25" s="98" t="str">
        <f>HYPERLINK("https://drive.google.com/folderview?id=0B0x_dulH5-nEfjhpQ2hIUE9rTTJyMU1fSHdvazNBczRXVUcyalJJODlhM28xS3FHUHYtRms&amp;usp=sharing","ดาวน์โหลดเอกสารประกอบ")</f>
        <v>ดาวน์โหลดเอกสารประกอบ</v>
      </c>
      <c r="H25" s="98" t="str">
        <f>HYPERLINK("https://drive.google.com/folderview?id=0B0x_dulH5-nEflhtc0VIUk5Va2VjcEh0U3IwTmw0amt4ZDZMMUo3c2FUd3RRV01JbTdqN2s&amp;usp=sharing","ดาวน์โหลดเอกสารประกอบ")</f>
        <v>ดาวน์โหลดเอกสารประกอบ</v>
      </c>
      <c r="I25" s="98" t="str">
        <f>HYPERLINK("https://drive.google.com/folderview?id=0B4mky1MMW8dYfmJKSHZWYlFVamlvbmxHOUtiSDI2NWxHejQ0ejRqSjVhcG5Tc29zanNKM3M&amp;usp=sharing","ดาวน์โหลดเอกสารประกอบ")</f>
        <v>ดาวน์โหลดเอกสารประกอบ</v>
      </c>
      <c r="J25" s="98" t="str">
        <f>HYPERLINK("https://drive.google.com/folderview?id=0B4mky1MMW8dYfjBoQk5JX2xKMzhBVWM2VmxqSmM0dUNrSFFoNG0ySlQ1VHhIb0pORS0xLUE&amp;usp=sharing","ดาวน์โหลดเอกสารประกอบ")</f>
        <v>ดาวน์โหลดเอกสารประกอบ</v>
      </c>
      <c r="K25" s="98" t="str">
        <f>HYPERLINK("https://drive.google.com/folderview?id=0B0x_dulH5-nEfkJaQ3hueFl4Qm9UOHhTMVpkQ1RXX3p5Zjc1OG1LU1ZudVNadHh1Z09EYUk&amp;usp=sharing","ดาวน์โหลดเอกสารประกอบ")</f>
        <v>ดาวน์โหลดเอกสารประกอบ</v>
      </c>
      <c r="L25" s="98" t="str">
        <f>HYPERLINK("https://drive.google.com/folderview?id=0B0x_dulH5-nEflJERnVLUHBTMjNFQTA0Yk1fOWd5bUg3Y0phUkxwVTR5TUdHTlBsb2lMMVU&amp;usp=sharing","ดาวน์โหลดเอกสารประกอบ")</f>
        <v>ดาวน์โหลดเอกสารประกอบ</v>
      </c>
      <c r="M25" s="98" t="str">
        <f>HYPERLINK("https://drive.google.com/folderview?id=0B0x_dulH5-nEfk5ZQTItWGV4UFJwVmpweWFoZFI1RGoxVTB1dGdEb0N3Q25hR3dkTVYwZnM&amp;usp=sharing","ดาวน์โหลดเอกสารประกอบ")</f>
        <v>ดาวน์โหลดเอกสารประกอบ</v>
      </c>
      <c r="N25" s="98" t="str">
        <f>HYPERLINK("https://drive.google.com/folderview?id=0B0x_dulH5-nEfmRvdjA5dExobExmM1NhN0g4YVUweFBJaWdyY1g3eWl6VmNsQnkxcExZSmc&amp;usp=sharing","ดาวน์โหลดเอกสารประกอบ")</f>
        <v>ดาวน์โหลดเอกสารประกอบ</v>
      </c>
      <c r="O25" s="98" t="str">
        <f>HYPERLINK("https://drive.google.com/folderview?id=0B0x_dulH5-nEflc1SVVqNkhSSURhU28ydXFtRTZqWHc3WUw4ejlKbUZmbG1UWFRueWt6dXM&amp;usp=sharing","ดาวน์โหลดเอกสารประกอบ")</f>
        <v>ดาวน์โหลดเอกสารประกอบ</v>
      </c>
      <c r="P25" s="98" t="str">
        <f>HYPERLINK("https://drive.google.com/folderview?id=0B0x_dulH5-nEflo1YWY0emNWS3hKeWZHYzlzeHFpTV96VXBQYWx0dWJlOUhVd0FxZGV6bjQ&amp;usp=sharing","ดาวน์โหลดเอกสารประกอบ")</f>
        <v>ดาวน์โหลดเอกสารประกอบ</v>
      </c>
      <c r="Q25" s="152" t="s">
        <v>31</v>
      </c>
      <c r="R25" s="152" t="s">
        <v>31</v>
      </c>
      <c r="S25" s="98" t="str">
        <f>HYPERLINK("https://drive.google.com/folderview?id=0B0x_dulH5-nEfnZLUTZud3ZCNHpRYVd0Zjl4Rm1rVGRWLTlwQ01SM2NjNThkZmxKckhyeEk&amp;usp=sharing","ดาวน์โหลดเอกสารประกอบ")</f>
        <v>ดาวน์โหลดเอกสารประกอบ</v>
      </c>
      <c r="T25" s="98" t="str">
        <f>HYPERLINK("https://drive.google.com/folderview?id=0B0x_dulH5-nEfmxvWnVZTTBlOTBXM3Q0LWdNRmFkUG1VOXpQMlE2NThNWEd2ZVJCeHVtSDQ&amp;usp=sharing","ดาวน์โหลดเอกสารประกอบ")</f>
        <v>ดาวน์โหลดเอกสารประกอบ</v>
      </c>
      <c r="U25" s="98" t="str">
        <f>HYPERLINK("https://drive.google.com/folderview?id=0B0x_dulH5-nEfkduSXItc2k0SFpJWmFvOXl6MUdTMTlybm9HN3FvZ2JfZ3NqRUlwVzFHWXc&amp;usp=sharing","ดาวน์โหลดเอกสารประกอบ")</f>
        <v>ดาวน์โหลดเอกสารประกอบ</v>
      </c>
      <c r="V25" s="98" t="str">
        <f>HYPERLINK("https://drive.google.com/folderview?id=0B0x_dulH5-nEfm9COERFNWMxSUxLMVJvdHo3azBWSThwUWNKaERJSDhCSVVRT2RXUkdKbTA&amp;usp=sharing","ดาวน์โหลดเอกสารประกอบ")</f>
        <v>ดาวน์โหลดเอกสารประกอบ</v>
      </c>
      <c r="W25" s="83" t="str">
        <f>HYPERLINK("https://drive.google.com/folderview?id=0B0x_dulH5-nEdW5KTGRrLTN2UW8&amp;usp=sharing","ดาวน์โหลดเอกสารประกอบ")</f>
        <v>ดาวน์โหลดเอกสารประกอบ</v>
      </c>
      <c r="X25" s="83" t="str">
        <f>HYPERLINK("https://drive.google.com/folderview?id=0B0x_dulH5-nEYUc4WEVlcWZ3alk&amp;usp=sharing","ดาวน์โหลดเอกสารประกอบ")</f>
        <v>ดาวน์โหลดเอกสารประกอบ</v>
      </c>
      <c r="Y25" s="83" t="str">
        <f>HYPERLINK("https://drive.google.com/folderview?id=0B0x_dulH5-nEdDFqMnZ5NmtucHc&amp;usp=sharing","ดาวน์โหลดเอกสารประกอบ")</f>
        <v>ดาวน์โหลดเอกสารประกอบ</v>
      </c>
      <c r="Z25" s="83" t="str">
        <f>HYPERLINK("https://drive.google.com/folderview?id=0B0x_dulH5-nEOXRQckREaUNvRWc&amp;usp=sharing","ดาวน์โหลดเอกสารประกอบ")</f>
        <v>ดาวน์โหลดเอกสารประกอบ</v>
      </c>
      <c r="AA25" s="83" t="str">
        <f>HYPERLINK("https://drive.google.com/folderview?id=0B0x_dulH5-nEQjNydVFVR203RFE&amp;usp=sharing","ดาวน์โหลดเอกสารประกอบ")</f>
        <v>ดาวน์โหลดเอกสารประกอบ</v>
      </c>
      <c r="AB25" s="83" t="str">
        <f>HYPERLINK("https://drive.google.com/folderview?id=0B0x_dulH5-nENF95S0xTNHRGcHc&amp;usp=sharing","ดาวน์โหลดเอกสารประกอบ")</f>
        <v>ดาวน์โหลดเอกสารประกอบ</v>
      </c>
    </row>
    <row r="26">
      <c r="A26" s="27"/>
      <c r="B26" s="5" t="s">
        <v>3</v>
      </c>
      <c r="C26" s="5" t="s">
        <v>4</v>
      </c>
      <c r="D26" s="12" t="s">
        <v>5</v>
      </c>
      <c r="E26" s="5" t="s">
        <v>6</v>
      </c>
      <c r="F26" s="5" t="s">
        <v>8</v>
      </c>
      <c r="G26" s="5" t="s">
        <v>9</v>
      </c>
      <c r="H26" s="5" t="s">
        <v>10</v>
      </c>
      <c r="I26" s="5" t="s">
        <v>11</v>
      </c>
      <c r="J26" s="5" t="s">
        <v>12</v>
      </c>
      <c r="K26" s="5" t="s">
        <v>13</v>
      </c>
      <c r="L26" s="5" t="s">
        <v>14</v>
      </c>
      <c r="M26" s="5" t="s">
        <v>15</v>
      </c>
      <c r="N26" s="5" t="s">
        <v>16</v>
      </c>
      <c r="O26" s="5" t="s">
        <v>17</v>
      </c>
      <c r="P26" s="5" t="s">
        <v>18</v>
      </c>
      <c r="Q26" s="5" t="s">
        <v>19</v>
      </c>
      <c r="R26" s="5" t="s">
        <v>20</v>
      </c>
      <c r="S26" s="5" t="s">
        <v>21</v>
      </c>
      <c r="T26" s="5" t="s">
        <v>22</v>
      </c>
      <c r="U26" s="5" t="s">
        <v>23</v>
      </c>
      <c r="V26" s="5" t="s">
        <v>24</v>
      </c>
      <c r="W26" s="4"/>
      <c r="X26" s="3"/>
      <c r="Y26" s="3"/>
      <c r="Z26" s="3"/>
      <c r="AA26" s="3"/>
      <c r="AB26" s="3"/>
    </row>
    <row r="27">
      <c r="A27" s="27"/>
      <c r="B27" s="13" t="s">
        <v>159</v>
      </c>
      <c r="C27" s="21" t="s">
        <v>34</v>
      </c>
      <c r="D27" s="21"/>
      <c r="E27" s="26" t="s">
        <v>34</v>
      </c>
      <c r="F27" s="21" t="s">
        <v>36</v>
      </c>
      <c r="G27" s="21"/>
      <c r="H27" s="21"/>
      <c r="I27" s="21" t="s">
        <v>193</v>
      </c>
      <c r="J27" s="21" t="s">
        <v>193</v>
      </c>
      <c r="K27" s="21" t="s">
        <v>32</v>
      </c>
      <c r="L27" s="21" t="s">
        <v>32</v>
      </c>
      <c r="M27" s="21" t="s">
        <v>32</v>
      </c>
      <c r="N27" s="21" t="s">
        <v>32</v>
      </c>
      <c r="O27" s="26" t="s">
        <v>32</v>
      </c>
      <c r="P27" s="21"/>
      <c r="Q27" s="21" t="s">
        <v>32</v>
      </c>
      <c r="R27" s="26" t="s">
        <v>32</v>
      </c>
      <c r="S27" s="21" t="s">
        <v>194</v>
      </c>
      <c r="T27" s="194" t="s">
        <v>548</v>
      </c>
      <c r="U27" s="21" t="s">
        <v>194</v>
      </c>
      <c r="V27" s="21" t="s">
        <v>194</v>
      </c>
      <c r="W27" s="4"/>
      <c r="X27" s="3"/>
      <c r="Y27" s="3"/>
      <c r="Z27" s="3"/>
      <c r="AA27" s="3"/>
      <c r="AB27" s="3"/>
    </row>
    <row r="28" ht="96.75" customHeight="1">
      <c r="A28" s="27"/>
      <c r="B28" s="29"/>
      <c r="C28" s="34" t="str">
        <f>HYPERLINK("https://www.youtube.com/watch?v=ZqUoNMjdnvg","การอ่าน/เขียนคำที่มี ร ล  เป็นพยัญชนะต้น")</f>
        <v>การอ่าน/เขียนคำที่มี ร ล  เป็นพยัญชนะต้น</v>
      </c>
      <c r="D28" s="34" t="str">
        <f>HYPERLINK("https://www.youtube.com/watch?v=VorfpyAm9FE","การอ่านเขียนคำ ที่มีพยัญชนะควบกล้ำ")</f>
        <v>การอ่านเขียนคำ ที่มีพยัญชนะควบกล้ำ</v>
      </c>
      <c r="E28" s="34" t="str">
        <f>HYPERLINK("https://www.youtube.com/watch?v=mnyA8DgpyG8","การอ่านจับใจความ")</f>
        <v>การอ่านจับใจความ</v>
      </c>
      <c r="F28" s="34" t="str">
        <f>HYPERLINK("https://www.youtube.com/watch?v=_7e___1ebEY","การเขียนย่อความ")</f>
        <v>การเขียนย่อความ</v>
      </c>
      <c r="G28" s="46" t="s">
        <v>562</v>
      </c>
      <c r="H28" s="46" t="s">
        <v>563</v>
      </c>
      <c r="I28" s="46" t="s">
        <v>564</v>
      </c>
      <c r="J28" s="46" t="s">
        <v>565</v>
      </c>
      <c r="K28" s="55" t="s">
        <v>566</v>
      </c>
      <c r="L28" s="55" t="s">
        <v>568</v>
      </c>
      <c r="M28" s="44" t="s">
        <v>570</v>
      </c>
      <c r="N28" s="55" t="s">
        <v>571</v>
      </c>
      <c r="O28" s="42" t="s">
        <v>573</v>
      </c>
      <c r="P28" s="46" t="s">
        <v>575</v>
      </c>
      <c r="Q28" s="46" t="s">
        <v>576</v>
      </c>
      <c r="R28" s="46" t="s">
        <v>577</v>
      </c>
      <c r="S28" s="55" t="s">
        <v>578</v>
      </c>
      <c r="T28" s="55" t="s">
        <v>579</v>
      </c>
      <c r="U28" s="46" t="s">
        <v>580</v>
      </c>
      <c r="V28" s="55" t="s">
        <v>581</v>
      </c>
      <c r="W28" s="4"/>
      <c r="X28" s="3"/>
      <c r="Y28" s="3"/>
      <c r="Z28" s="3"/>
      <c r="AA28" s="3"/>
      <c r="AB28" s="3"/>
    </row>
    <row r="29">
      <c r="A29" s="27"/>
      <c r="B29" s="29"/>
      <c r="C29" s="10" t="s">
        <v>582</v>
      </c>
      <c r="D29" s="10" t="s">
        <v>582</v>
      </c>
      <c r="E29" s="10" t="s">
        <v>582</v>
      </c>
      <c r="F29" s="10" t="s">
        <v>582</v>
      </c>
      <c r="G29" s="75" t="s">
        <v>583</v>
      </c>
      <c r="H29" s="75" t="s">
        <v>584</v>
      </c>
      <c r="I29" s="75" t="s">
        <v>584</v>
      </c>
      <c r="J29" s="75" t="s">
        <v>583</v>
      </c>
      <c r="K29" s="75" t="s">
        <v>583</v>
      </c>
      <c r="L29" s="64" t="s">
        <v>585</v>
      </c>
      <c r="M29" s="75" t="s">
        <v>584</v>
      </c>
      <c r="N29" s="64" t="s">
        <v>585</v>
      </c>
      <c r="O29" s="10" t="s">
        <v>582</v>
      </c>
      <c r="P29" s="10" t="s">
        <v>582</v>
      </c>
      <c r="Q29" s="75" t="s">
        <v>584</v>
      </c>
      <c r="R29" s="75" t="s">
        <v>584</v>
      </c>
      <c r="S29" s="75" t="s">
        <v>583</v>
      </c>
      <c r="T29" s="75" t="s">
        <v>583</v>
      </c>
      <c r="U29" s="10" t="s">
        <v>582</v>
      </c>
      <c r="V29" s="10" t="s">
        <v>582</v>
      </c>
      <c r="W29" s="4"/>
      <c r="X29" s="3"/>
      <c r="Y29" s="3"/>
      <c r="Z29" s="3"/>
      <c r="AA29" s="3"/>
      <c r="AB29" s="3"/>
    </row>
    <row r="30">
      <c r="A30" s="27"/>
      <c r="B30" s="29"/>
      <c r="C30" s="10" t="s">
        <v>471</v>
      </c>
      <c r="D30" s="10" t="s">
        <v>471</v>
      </c>
      <c r="E30" s="10" t="s">
        <v>471</v>
      </c>
      <c r="F30" s="10" t="s">
        <v>471</v>
      </c>
      <c r="G30" s="75" t="s">
        <v>588</v>
      </c>
      <c r="H30" s="75" t="s">
        <v>589</v>
      </c>
      <c r="I30" s="75" t="s">
        <v>589</v>
      </c>
      <c r="J30" s="75" t="s">
        <v>588</v>
      </c>
      <c r="K30" s="75" t="s">
        <v>588</v>
      </c>
      <c r="L30" s="64" t="s">
        <v>593</v>
      </c>
      <c r="M30" s="75" t="s">
        <v>589</v>
      </c>
      <c r="N30" s="64" t="s">
        <v>593</v>
      </c>
      <c r="O30" s="10" t="s">
        <v>471</v>
      </c>
      <c r="P30" s="10" t="s">
        <v>471</v>
      </c>
      <c r="Q30" s="75" t="s">
        <v>589</v>
      </c>
      <c r="R30" s="75" t="s">
        <v>589</v>
      </c>
      <c r="S30" s="75" t="s">
        <v>588</v>
      </c>
      <c r="T30" s="75" t="s">
        <v>588</v>
      </c>
      <c r="U30" s="10" t="s">
        <v>471</v>
      </c>
      <c r="V30" s="10" t="s">
        <v>471</v>
      </c>
      <c r="W30" s="4"/>
      <c r="X30" s="3"/>
      <c r="Y30" s="3"/>
      <c r="Z30" s="3"/>
      <c r="AA30" s="3"/>
      <c r="AB30" s="3"/>
    </row>
    <row r="31">
      <c r="A31" s="27"/>
      <c r="B31" s="29"/>
      <c r="C31" s="10" t="s">
        <v>235</v>
      </c>
      <c r="D31" s="10" t="s">
        <v>235</v>
      </c>
      <c r="E31" s="10" t="s">
        <v>235</v>
      </c>
      <c r="F31" s="10" t="s">
        <v>235</v>
      </c>
      <c r="G31" s="75" t="s">
        <v>234</v>
      </c>
      <c r="H31" s="75" t="s">
        <v>607</v>
      </c>
      <c r="I31" s="75" t="s">
        <v>607</v>
      </c>
      <c r="J31" s="75" t="s">
        <v>234</v>
      </c>
      <c r="K31" s="75" t="s">
        <v>234</v>
      </c>
      <c r="L31" s="64" t="s">
        <v>608</v>
      </c>
      <c r="M31" s="75" t="s">
        <v>607</v>
      </c>
      <c r="N31" s="64" t="s">
        <v>608</v>
      </c>
      <c r="O31" s="10" t="s">
        <v>235</v>
      </c>
      <c r="P31" s="10" t="s">
        <v>235</v>
      </c>
      <c r="Q31" s="75" t="s">
        <v>607</v>
      </c>
      <c r="R31" s="75" t="s">
        <v>607</v>
      </c>
      <c r="S31" s="75" t="s">
        <v>234</v>
      </c>
      <c r="T31" s="75" t="s">
        <v>234</v>
      </c>
      <c r="U31" s="10" t="s">
        <v>235</v>
      </c>
      <c r="V31" s="10" t="s">
        <v>235</v>
      </c>
      <c r="W31" s="4"/>
      <c r="X31" s="3"/>
      <c r="Y31" s="3"/>
      <c r="Z31" s="3"/>
      <c r="AA31" s="3"/>
      <c r="AB31" s="3"/>
    </row>
    <row r="32">
      <c r="A32" s="27"/>
      <c r="B32" s="29"/>
      <c r="C32" s="91" t="s">
        <v>171</v>
      </c>
      <c r="D32" s="91" t="s">
        <v>172</v>
      </c>
      <c r="E32" s="91" t="s">
        <v>173</v>
      </c>
      <c r="F32" s="91" t="s">
        <v>174</v>
      </c>
      <c r="G32" s="91" t="s">
        <v>622</v>
      </c>
      <c r="H32" s="91" t="s">
        <v>624</v>
      </c>
      <c r="I32" s="91" t="s">
        <v>626</v>
      </c>
      <c r="J32" s="137" t="s">
        <v>627</v>
      </c>
      <c r="K32" s="91" t="s">
        <v>629</v>
      </c>
      <c r="L32" s="91" t="s">
        <v>630</v>
      </c>
      <c r="M32" s="91" t="s">
        <v>631</v>
      </c>
      <c r="N32" s="91" t="s">
        <v>632</v>
      </c>
      <c r="O32" s="91" t="s">
        <v>635</v>
      </c>
      <c r="P32" s="91" t="s">
        <v>636</v>
      </c>
      <c r="Q32" s="91" t="s">
        <v>637</v>
      </c>
      <c r="R32" s="91" t="s">
        <v>638</v>
      </c>
      <c r="S32" s="91" t="s">
        <v>639</v>
      </c>
      <c r="T32" s="91" t="s">
        <v>641</v>
      </c>
      <c r="U32" s="91" t="s">
        <v>642</v>
      </c>
      <c r="V32" s="91" t="s">
        <v>644</v>
      </c>
      <c r="W32" s="4"/>
      <c r="X32" s="3"/>
      <c r="Y32" s="3"/>
      <c r="Z32" s="3"/>
      <c r="AA32" s="3"/>
      <c r="AB32" s="3"/>
    </row>
    <row r="33">
      <c r="A33" s="27"/>
      <c r="B33" s="79"/>
      <c r="C33" s="98" t="str">
        <f>HYPERLINK("https://drive.google.com/folderview?id=0B0x_dulH5-nEQ2toaldoZzVUV3c&amp;usp=sharing","ดาวน์โหลดเอกสารประกอบ")</f>
        <v>ดาวน์โหลดเอกสารประกอบ</v>
      </c>
      <c r="D33" s="110" t="str">
        <f>HYPERLINK("https://drive.google.com/folderview?id=0B0x_dulH5-nEUXRuSUw5NnhycTQ&amp;usp=sharing","ดาวน์โหลดเอกสารประกอบ")</f>
        <v>ดาวน์โหลดเอกสารประกอบ</v>
      </c>
      <c r="E33" s="98" t="str">
        <f>HYPERLINK("https://drive.google.com/folderview?id=0B0x_dulH5-nEbWVHZW81WU9nRHM&amp;usp=sharing","ดาวน์โหลดเอกสารประกอบ")</f>
        <v>ดาวน์โหลดเอกสารประกอบ</v>
      </c>
      <c r="F33" s="98" t="str">
        <f>HYPERLINK("https://drive.google.com/folderview?id=0B0x_dulH5-nEbXJRMjdYencyWVU&amp;usp=sharing","ดาวน์โหลดเอกสารประกอบ")</f>
        <v>ดาวน์โหลดเอกสารประกอบ</v>
      </c>
      <c r="G33" s="152" t="s">
        <v>31</v>
      </c>
      <c r="H33" s="152" t="s">
        <v>31</v>
      </c>
      <c r="I33" s="152" t="s">
        <v>31</v>
      </c>
      <c r="J33" s="94" t="s">
        <v>31</v>
      </c>
      <c r="K33" s="152" t="s">
        <v>195</v>
      </c>
      <c r="L33" s="98" t="str">
        <f>HYPERLINK("https://drive.google.com/folderview?id=0B4mky1MMW8dYflFCMjRzSVFuOGUwN3lxSlVWRjE2eEpCbHlVOGNYZUVqWVprbEJpMWZiNFE&amp;usp=sharing","ดาวน์โหลดเอกสารประกอบ")</f>
        <v>ดาวน์โหลดเอกสารประกอบ</v>
      </c>
      <c r="M33" s="152" t="s">
        <v>31</v>
      </c>
      <c r="N33" s="98" t="str">
        <f>HYPERLINK("https://drive.google.com/folderview?id=0B4mky1MMW8dYfjY5Z1h0cUFyUkYwWm56U2VFcWpHRDFkTjk1XzJlN01wcC1jNWtQc0ozcDg&amp;usp=sharing","ดาวน์โหลดเอกสารประกอบ")</f>
        <v>ดาวน์โหลดเอกสารประกอบ</v>
      </c>
      <c r="O33" s="98" t="str">
        <f>HYPERLINK("https://drive.google.com/folderview?id=0B0x_dulH5-nEflA2cG9UcEk5ZkkwQndNQWJRRnVKSXM4WkJsQWFYSnFUUVJscUpQMF8tQ0U&amp;usp=sharing","ดาวน์โหลดเอกสารประกอบ")</f>
        <v>ดาวน์โหลดเอกสารประกอบ</v>
      </c>
      <c r="P33" s="98" t="str">
        <f>HYPERLINK("https://drive.google.com/folderview?id=0B0x_dulH5-nEfmlhbzFsUnpLNWZRNG45RHFmTTNZQm9YVVJqMmVwSHlyS1VNZERLQ3pZOFU&amp;usp=sharing","ดาวน์โหลดเอกสารประกอบ")</f>
        <v>ดาวน์โหลดเอกสารประกอบ</v>
      </c>
      <c r="Q33" s="152" t="s">
        <v>31</v>
      </c>
      <c r="R33" s="152" t="s">
        <v>195</v>
      </c>
      <c r="S33" s="152" t="s">
        <v>31</v>
      </c>
      <c r="T33" s="152" t="s">
        <v>31</v>
      </c>
      <c r="U33" s="98" t="str">
        <f>HYPERLINK("https://drive.google.com/folderview?id=0B0x_dulH5-nEfjB3LTB6YlBwbm92Y3JJa1dGLWRxdjVtWm1uN2xpbkFMZ2VIZFI2cDRQd0U&amp;usp=sharing","ดาวน์โหลดเอกสารประกอบ")</f>
        <v>ดาวน์โหลดเอกสารประกอบ</v>
      </c>
      <c r="V33" s="98" t="str">
        <f>HYPERLINK("https://drive.google.com/folderview?id=0B0x_dulH5-nEflg3UHJoV3lKWExhNlJyQ1RYM3dfSTItR2czdzA2cE9qaGt2d3ZNeGl4S0k&amp;usp=sharing","ดาวน์โหลดเอกสารประกอบ")</f>
        <v>ดาวน์โหลดเอกสารประกอบ</v>
      </c>
      <c r="W33" s="4"/>
      <c r="X33" s="3"/>
      <c r="Y33" s="3"/>
      <c r="Z33" s="3"/>
      <c r="AA33" s="3"/>
      <c r="AB33" s="3"/>
    </row>
    <row r="34">
      <c r="A34" s="27"/>
      <c r="B34" s="5" t="s">
        <v>3</v>
      </c>
      <c r="C34" s="5" t="s">
        <v>4</v>
      </c>
      <c r="D34" s="12" t="s">
        <v>5</v>
      </c>
      <c r="E34" s="5" t="s">
        <v>6</v>
      </c>
      <c r="F34" s="5" t="s">
        <v>8</v>
      </c>
      <c r="G34" s="5" t="s">
        <v>9</v>
      </c>
      <c r="H34" s="5" t="s">
        <v>10</v>
      </c>
      <c r="I34" s="5" t="s">
        <v>11</v>
      </c>
      <c r="J34" s="5" t="s">
        <v>12</v>
      </c>
      <c r="K34" s="5" t="s">
        <v>13</v>
      </c>
      <c r="L34" s="5" t="s">
        <v>14</v>
      </c>
      <c r="M34" s="5" t="s">
        <v>15</v>
      </c>
      <c r="N34" s="5" t="s">
        <v>16</v>
      </c>
      <c r="O34" s="5" t="s">
        <v>17</v>
      </c>
      <c r="P34" s="5" t="s">
        <v>18</v>
      </c>
      <c r="Q34" s="5" t="s">
        <v>19</v>
      </c>
      <c r="R34" s="5" t="s">
        <v>20</v>
      </c>
      <c r="S34" s="5" t="s">
        <v>21</v>
      </c>
      <c r="T34" s="5" t="s">
        <v>22</v>
      </c>
      <c r="U34" s="5" t="s">
        <v>23</v>
      </c>
      <c r="V34" s="5" t="s">
        <v>24</v>
      </c>
      <c r="W34" s="5" t="s">
        <v>25</v>
      </c>
      <c r="X34" s="3"/>
      <c r="Y34" s="3"/>
      <c r="Z34" s="3"/>
      <c r="AA34" s="3"/>
      <c r="AB34" s="3"/>
    </row>
    <row r="35">
      <c r="A35" s="27"/>
      <c r="B35" s="13" t="s">
        <v>175</v>
      </c>
      <c r="C35" s="21" t="s">
        <v>34</v>
      </c>
      <c r="D35" s="21" t="s">
        <v>34</v>
      </c>
      <c r="E35" s="21" t="s">
        <v>34</v>
      </c>
      <c r="F35" s="21" t="s">
        <v>34</v>
      </c>
      <c r="G35" s="21" t="s">
        <v>32</v>
      </c>
      <c r="H35" s="21" t="s">
        <v>36</v>
      </c>
      <c r="I35" s="21" t="s">
        <v>36</v>
      </c>
      <c r="J35" s="21" t="s">
        <v>36</v>
      </c>
      <c r="K35" s="21"/>
      <c r="L35" s="21" t="s">
        <v>193</v>
      </c>
      <c r="M35" s="21" t="s">
        <v>193</v>
      </c>
      <c r="N35" s="21" t="s">
        <v>32</v>
      </c>
      <c r="O35" s="21" t="s">
        <v>32</v>
      </c>
      <c r="P35" s="21" t="s">
        <v>32</v>
      </c>
      <c r="Q35" s="21" t="s">
        <v>32</v>
      </c>
      <c r="R35" s="21" t="s">
        <v>32</v>
      </c>
      <c r="S35" s="21" t="s">
        <v>32</v>
      </c>
      <c r="T35" s="21" t="s">
        <v>32</v>
      </c>
      <c r="U35" s="21" t="s">
        <v>32</v>
      </c>
      <c r="V35" s="21" t="s">
        <v>194</v>
      </c>
      <c r="W35" s="21" t="s">
        <v>194</v>
      </c>
      <c r="X35" s="3"/>
      <c r="Y35" s="3"/>
      <c r="Z35" s="3"/>
      <c r="AA35" s="3"/>
      <c r="AB35" s="3"/>
    </row>
    <row r="36" ht="30.0" customHeight="1">
      <c r="A36" s="27"/>
      <c r="B36" s="29"/>
      <c r="C36" s="39" t="str">
        <f>HYPERLINK("https://www.youtube.com/watch?v=f5o-RQY7YMg","การอ่านคำควบกล้ำ ร, ล, ว (ควบกล้ำแท้)")</f>
        <v>การอ่านคำควบกล้ำ ร, ล, ว (ควบกล้ำแท้)</v>
      </c>
      <c r="D36" s="34" t="str">
        <f>HYPERLINK("https://www.youtube.com/watch?v=78jKikSwl3c&amp;feature=youtu.be","การอ่านคำควบกล้ำไม่แท้")</f>
        <v>การอ่านคำควบกล้ำไม่แท้</v>
      </c>
      <c r="E36" s="46" t="s">
        <v>670</v>
      </c>
      <c r="F36" s="46" t="s">
        <v>671</v>
      </c>
      <c r="G36" s="34" t="str">
        <f>HYPERLINK("https://www.youtube.com/watch?v=Ry7d6TE6QpA","การใช้พจนานุกรม")</f>
        <v>การใช้พจนานุกรม</v>
      </c>
      <c r="H36" s="46" t="s">
        <v>673</v>
      </c>
      <c r="I36" s="46" t="s">
        <v>674</v>
      </c>
      <c r="J36" s="55" t="s">
        <v>675</v>
      </c>
      <c r="K36" s="46" t="s">
        <v>676</v>
      </c>
      <c r="L36" s="46" t="s">
        <v>677</v>
      </c>
      <c r="M36" s="55" t="s">
        <v>678</v>
      </c>
      <c r="N36" s="46" t="s">
        <v>680</v>
      </c>
      <c r="O36" s="46" t="s">
        <v>681</v>
      </c>
      <c r="P36" s="46" t="s">
        <v>682</v>
      </c>
      <c r="Q36" s="55" t="s">
        <v>683</v>
      </c>
      <c r="R36" s="55" t="s">
        <v>684</v>
      </c>
      <c r="S36" s="55" t="s">
        <v>685</v>
      </c>
      <c r="T36" s="55" t="s">
        <v>686</v>
      </c>
      <c r="U36" s="46" t="s">
        <v>687</v>
      </c>
      <c r="V36" s="46" t="s">
        <v>688</v>
      </c>
      <c r="W36" s="55" t="s">
        <v>689</v>
      </c>
      <c r="X36" s="3"/>
      <c r="Y36" s="3"/>
      <c r="Z36" s="3"/>
      <c r="AA36" s="3"/>
      <c r="AB36" s="3"/>
    </row>
    <row r="37">
      <c r="A37" s="27"/>
      <c r="B37" s="29"/>
      <c r="C37" s="10" t="s">
        <v>691</v>
      </c>
      <c r="D37" s="3" t="s">
        <v>691</v>
      </c>
      <c r="E37" s="75" t="s">
        <v>692</v>
      </c>
      <c r="F37" s="75" t="s">
        <v>692</v>
      </c>
      <c r="G37" s="3" t="s">
        <v>691</v>
      </c>
      <c r="H37" s="54" t="s">
        <v>693</v>
      </c>
      <c r="I37" s="75" t="s">
        <v>692</v>
      </c>
      <c r="J37" s="54" t="s">
        <v>693</v>
      </c>
      <c r="K37" s="52" t="s">
        <v>694</v>
      </c>
      <c r="L37" s="75" t="s">
        <v>692</v>
      </c>
      <c r="M37" s="54" t="s">
        <v>693</v>
      </c>
      <c r="N37" s="75" t="s">
        <v>695</v>
      </c>
      <c r="O37" s="75" t="s">
        <v>695</v>
      </c>
      <c r="P37" s="75" t="s">
        <v>695</v>
      </c>
      <c r="Q37" s="10" t="s">
        <v>696</v>
      </c>
      <c r="R37" s="10" t="s">
        <v>696</v>
      </c>
      <c r="S37" s="54" t="s">
        <v>693</v>
      </c>
      <c r="T37" s="54" t="s">
        <v>693</v>
      </c>
      <c r="U37" s="54" t="s">
        <v>693</v>
      </c>
      <c r="V37" s="75" t="s">
        <v>695</v>
      </c>
      <c r="W37" s="54" t="s">
        <v>693</v>
      </c>
      <c r="X37" s="3"/>
      <c r="Y37" s="3"/>
      <c r="Z37" s="3"/>
      <c r="AA37" s="3"/>
      <c r="AB37" s="3"/>
    </row>
    <row r="38">
      <c r="A38" s="27"/>
      <c r="B38" s="29"/>
      <c r="C38" s="10" t="s">
        <v>471</v>
      </c>
      <c r="D38" s="10" t="s">
        <v>471</v>
      </c>
      <c r="E38" s="75" t="s">
        <v>697</v>
      </c>
      <c r="F38" s="75" t="s">
        <v>697</v>
      </c>
      <c r="G38" s="10" t="s">
        <v>471</v>
      </c>
      <c r="H38" s="54" t="s">
        <v>699</v>
      </c>
      <c r="I38" s="75" t="s">
        <v>697</v>
      </c>
      <c r="J38" s="54" t="s">
        <v>699</v>
      </c>
      <c r="K38" s="52" t="s">
        <v>700</v>
      </c>
      <c r="L38" s="75" t="s">
        <v>697</v>
      </c>
      <c r="M38" s="54" t="s">
        <v>699</v>
      </c>
      <c r="N38" s="75" t="s">
        <v>701</v>
      </c>
      <c r="O38" s="75" t="s">
        <v>701</v>
      </c>
      <c r="P38" s="75" t="s">
        <v>701</v>
      </c>
      <c r="Q38" s="10" t="s">
        <v>702</v>
      </c>
      <c r="R38" s="10" t="s">
        <v>702</v>
      </c>
      <c r="S38" s="54" t="s">
        <v>699</v>
      </c>
      <c r="T38" s="54" t="s">
        <v>699</v>
      </c>
      <c r="U38" s="54" t="s">
        <v>699</v>
      </c>
      <c r="V38" s="75" t="s">
        <v>701</v>
      </c>
      <c r="W38" s="54" t="s">
        <v>699</v>
      </c>
      <c r="X38" s="3"/>
      <c r="Y38" s="3"/>
      <c r="Z38" s="3"/>
      <c r="AA38" s="3"/>
      <c r="AB38" s="3"/>
    </row>
    <row r="39">
      <c r="A39" s="27"/>
      <c r="B39" s="29"/>
      <c r="C39" s="10" t="s">
        <v>235</v>
      </c>
      <c r="D39" s="10" t="s">
        <v>235</v>
      </c>
      <c r="E39" s="75" t="s">
        <v>233</v>
      </c>
      <c r="F39" s="75" t="s">
        <v>233</v>
      </c>
      <c r="G39" s="10" t="s">
        <v>235</v>
      </c>
      <c r="H39" s="54" t="s">
        <v>703</v>
      </c>
      <c r="I39" s="75" t="s">
        <v>233</v>
      </c>
      <c r="J39" s="54" t="s">
        <v>703</v>
      </c>
      <c r="K39" s="52" t="s">
        <v>406</v>
      </c>
      <c r="L39" s="75" t="s">
        <v>233</v>
      </c>
      <c r="M39" s="54" t="s">
        <v>703</v>
      </c>
      <c r="N39" s="75" t="s">
        <v>234</v>
      </c>
      <c r="O39" s="75" t="s">
        <v>234</v>
      </c>
      <c r="P39" s="75" t="s">
        <v>234</v>
      </c>
      <c r="Q39" s="10" t="s">
        <v>625</v>
      </c>
      <c r="R39" s="10" t="s">
        <v>625</v>
      </c>
      <c r="S39" s="54" t="s">
        <v>703</v>
      </c>
      <c r="T39" s="54" t="s">
        <v>703</v>
      </c>
      <c r="U39" s="54" t="s">
        <v>703</v>
      </c>
      <c r="V39" s="75" t="s">
        <v>234</v>
      </c>
      <c r="W39" s="54" t="s">
        <v>703</v>
      </c>
      <c r="X39" s="3"/>
      <c r="Y39" s="3"/>
      <c r="Z39" s="3"/>
      <c r="AA39" s="3"/>
      <c r="AB39" s="3"/>
    </row>
    <row r="40">
      <c r="A40" s="27"/>
      <c r="B40" s="29"/>
      <c r="C40" s="91" t="s">
        <v>705</v>
      </c>
      <c r="D40" s="91" t="s">
        <v>707</v>
      </c>
      <c r="E40" s="91" t="s">
        <v>708</v>
      </c>
      <c r="F40" s="91" t="s">
        <v>709</v>
      </c>
      <c r="G40" s="91" t="s">
        <v>710</v>
      </c>
      <c r="H40" s="91" t="s">
        <v>711</v>
      </c>
      <c r="I40" s="91" t="s">
        <v>712</v>
      </c>
      <c r="J40" s="91" t="s">
        <v>713</v>
      </c>
      <c r="K40" s="91" t="s">
        <v>714</v>
      </c>
      <c r="L40" s="91" t="s">
        <v>715</v>
      </c>
      <c r="M40" s="91" t="s">
        <v>716</v>
      </c>
      <c r="N40" s="91" t="s">
        <v>717</v>
      </c>
      <c r="O40" s="91" t="s">
        <v>719</v>
      </c>
      <c r="P40" s="91" t="s">
        <v>720</v>
      </c>
      <c r="Q40" s="91" t="s">
        <v>721</v>
      </c>
      <c r="R40" s="91" t="s">
        <v>723</v>
      </c>
      <c r="S40" s="91" t="s">
        <v>726</v>
      </c>
      <c r="T40" s="91" t="s">
        <v>727</v>
      </c>
      <c r="U40" s="91" t="s">
        <v>728</v>
      </c>
      <c r="V40" s="91" t="s">
        <v>730</v>
      </c>
      <c r="W40" s="91" t="s">
        <v>731</v>
      </c>
      <c r="X40" s="3"/>
      <c r="Y40" s="3"/>
      <c r="Z40" s="3"/>
      <c r="AA40" s="3"/>
      <c r="AB40" s="3"/>
    </row>
    <row r="41">
      <c r="A41" s="27"/>
      <c r="B41" s="79"/>
      <c r="C41" s="98" t="str">
        <f>HYPERLINK("https://drive.google.com/folderview?id=0B4mky1MMW8dYfk5HUFJIYThkRDlWYlI3bUxqVjB4Mm1udE96bkxlRF9nRXIyekZYWmVnUk0&amp;usp=sharing","ดาวน์โหลดเอกสารประกอบ")</f>
        <v>ดาวน์โหลดเอกสารประกอบ</v>
      </c>
      <c r="D41" s="110" t="str">
        <f>HYPERLINK("https://drive.google.com/folderview?id=0B4mky1MMW8dYfnU4QWpLN2R6Rnd1el9ubVpYN0hUMXgyVGJnZzU0QjM2ekpfaHFiZ3hkMjA&amp;usp=sharing","ดาวน์โหลดเอกสารประกอบ")</f>
        <v>ดาวน์โหลดเอกสารประกอบ</v>
      </c>
      <c r="E41" s="98" t="str">
        <f>HYPERLINK("https://drive.google.com/folderview?id=0B4mky1MMW8dYfnUzbG9uMjNTdGcwMk0ycExXLVpqYUFnV3hxbG9OeFZRV0xGOUVDU1JScUk&amp;usp=sharing","ดาวน์โหลดเอกสารประกอบ")</f>
        <v>ดาวน์โหลดเอกสารประกอบ</v>
      </c>
      <c r="F41" s="98" t="str">
        <f>HYPERLINK("https://drive.google.com/folderview?id=0B4mky1MMW8dYfnBFRTNmWkJmWTBlWWpWWUZ1T3VPNldMNVJhcHdxOTNsdDR6elluTDlLZlk&amp;usp=sharing","ดาวน์โหลดเอกสารประกอบ")</f>
        <v>ดาวน์โหลดเอกสารประกอบ</v>
      </c>
      <c r="G41" s="98" t="str">
        <f>HYPERLINK("https://drive.google.com/folderview?id=0B4mky1MMW8dYfkx1bk4taTBOS0dKWVVKWHkxUzQzTnhTQ1lLbnd0dThrempRbXgtSk4yNEE&amp;usp=sharing","ดาวน์โหลดเอกสารประกอบ")</f>
        <v>ดาวน์โหลดเอกสารประกอบ</v>
      </c>
      <c r="H41" s="98" t="str">
        <f>HYPERLINK("https://drive.google.com/folderview?id=0B0x_dulH5-nEfnhRSDhLQnUyWnlXV1JmYkxrOXF6YVByRzFRU2JjMlJoWWg2dHVKRTAyOW8&amp;usp=sharing","ดาวน์โหลดเอกสารประกอบ")</f>
        <v>ดาวน์โหลดเอกสารประกอบ</v>
      </c>
      <c r="I41" s="98" t="str">
        <f>HYPERLINK("https://drive.google.com/folderview?id=0B4mky1MMW8dYfjFaQnAxOUdZRXlQRFlIa3NqVGFkdXA0RHJ3WnhSR2x5VlF2S1pObC1VeTA&amp;usp=sharing","ดาวน์โหลดเอกสารประกอบ")</f>
        <v>ดาวน์โหลดเอกสารประกอบ</v>
      </c>
      <c r="J41" s="98" t="str">
        <f>HYPERLINK("https://drive.google.com/folderview?id=0B0x_dulH5-nEfjZiV0xIc2xzUmhlRnI2QVdtSFAtUnpWZ19WRHg0TjV5TlI1bVc5TGRKZ3c&amp;usp=sharing","ดาวน์โหลดเอกสารประกอบ")</f>
        <v>ดาวน์โหลดเอกสารประกอบ</v>
      </c>
      <c r="K41" s="98" t="str">
        <f>HYPERLINK("https://drive.google.com/folderview?id=0B4mky1MMW8dYfkZNMVV6VnZNRmc0WnlVb2VGOGtxXy1UTVZmM1BIV1B4SVRfaFRLSkVRU0E&amp;usp=sharing","ดาวน์โหลดเอกสารประกอบ")</f>
        <v>ดาวน์โหลดเอกสารประกอบ</v>
      </c>
      <c r="L41" s="98" t="str">
        <f>HYPERLINK("https://drive.google.com/folderview?id=0B4mky1MMW8dYfjBaT3o3djRDdEZJcWhXc1RlVXRuckMtM0N3NzVNTllscURmOENBS1hvREk&amp;usp=sharing","ดาวน์โหลดเอกสารประกอบ")</f>
        <v>ดาวน์โหลดเอกสารประกอบ</v>
      </c>
      <c r="M41" s="98" t="str">
        <f>HYPERLINK("https://drive.google.com/folderview?id=0B0x_dulH5-nEfnYtd05JVE5iY2JzUTRmS1lMaFY5VUZNc2h6V01FSmFzU0UtaWRMaVhOYjA&amp;usp=sharing","ดาวน์โหลดเอกสารประกอบ")</f>
        <v>ดาวน์โหลดเอกสารประกอบ</v>
      </c>
      <c r="N41" s="98" t="str">
        <f>HYPERLINK("https://drive.google.com/folderview?id=0B4mky1MMW8dYfjBnS1FRakUtNUE3QVpkZEJmeFd4Zl9WYUNncDlJU3NXZnBYZi15c2ZRRHc&amp;usp=sharing","ดาวน์โหลดเอกสารประกอบ")</f>
        <v>ดาวน์โหลดเอกสารประกอบ</v>
      </c>
      <c r="O41" s="98" t="str">
        <f>HYPERLINK("https://drive.google.com/folderview?id=0B4mky1MMW8dYfkE0NUEtb0FRUWtmYWhWQ0FxWWc4Um9DSEtTeDRaRDQ2bFA2UFR4T0d1TWc&amp;usp=sharing","ดาวน์โหลดเอกสารประกอบ")</f>
        <v>ดาวน์โหลดเอกสารประกอบ</v>
      </c>
      <c r="P41" s="98" t="str">
        <f>HYPERLINK("https://drive.google.com/folderview?id=0B4mky1MMW8dYfjlYU1BqRFlfQldLaVd4YW1ncl9ZT25ZeWtDcVRjaVUtck5BTFZSWXZ5Vms&amp;usp=sharing","ดาวน์โหลดเอกสารประกอบ")</f>
        <v>ดาวน์โหลดเอกสารประกอบ</v>
      </c>
      <c r="Q41" s="152" t="s">
        <v>31</v>
      </c>
      <c r="R41" s="152" t="s">
        <v>31</v>
      </c>
      <c r="S41" s="98" t="str">
        <f>HYPERLINK("https://drive.google.com/folderview?id=0B0x_dulH5-nEfnQ3QXVER0pWYnRxRTlFWGpGRUVreHJlNkNjNnJQZ21rV296M04xajhYVTQ&amp;usp=sharing","ดาวน์โหลดเอกสารประกอบ")</f>
        <v>ดาวน์โหลดเอกสารประกอบ</v>
      </c>
      <c r="T41" s="98" t="str">
        <f>HYPERLINK("https://drive.google.com/folderview?id=0B0x_dulH5-nEfnhISU5MaC1FMVFvYnJlTm5UOUNfYzg1TkEwbDdndFYtM1kwa3VfMVlnczg&amp;usp=sharing","ดาวน์โหลดเอกสารประกอบ")</f>
        <v>ดาวน์โหลดเอกสารประกอบ</v>
      </c>
      <c r="U41" s="98" t="str">
        <f>HYPERLINK("https://drive.google.com/folderview?id=0B0x_dulH5-nEfmhLc2Zha21JVjVJdXcxeDJLeF95bWx3cXhRRWhINGtyNHBUdk8xRFFuWjg&amp;usp=sharing","ดาวน์โหลดเอกสารประกอบ")</f>
        <v>ดาวน์โหลดเอกสารประกอบ</v>
      </c>
      <c r="V41" s="98" t="str">
        <f>HYPERLINK("https://drive.google.com/folderview?id=0B4mky1MMW8dYfklUZUk0ejlDX2pRSkFtNF9EWTM2cVI3b3Q4Q3NNN0M3RGFERzJLU1p6VTg&amp;usp=sharing","ดาวน์โหลดเอกสารประกอบ")</f>
        <v>ดาวน์โหลดเอกสารประกอบ</v>
      </c>
      <c r="W41" s="98" t="str">
        <f>HYPERLINK("https://drive.google.com/folderview?id=0B0x_dulH5-nEfkc1ZlB3S2I1SEY3bGpnOXYyVFdZdTNmWGxSVVA5NkdiUFlTUzVrU1ZCd0U&amp;usp=sharing","ดาวน์โหลดเอกสารประกอบ")</f>
        <v>ดาวน์โหลดเอกสารประกอบ</v>
      </c>
      <c r="X41" s="3"/>
      <c r="Y41" s="3"/>
      <c r="Z41" s="3"/>
      <c r="AA41" s="3"/>
      <c r="AB41" s="3"/>
    </row>
    <row r="42">
      <c r="A42" s="27"/>
      <c r="B42" s="5" t="s">
        <v>3</v>
      </c>
      <c r="C42" s="5" t="s">
        <v>4</v>
      </c>
      <c r="D42" s="12" t="s">
        <v>5</v>
      </c>
      <c r="E42" s="5" t="s">
        <v>6</v>
      </c>
      <c r="F42" s="5" t="s">
        <v>8</v>
      </c>
      <c r="G42" s="5" t="s">
        <v>9</v>
      </c>
      <c r="H42" s="5" t="s">
        <v>10</v>
      </c>
      <c r="I42" s="5" t="s">
        <v>11</v>
      </c>
      <c r="J42" s="5" t="s">
        <v>12</v>
      </c>
      <c r="K42" s="5" t="s">
        <v>13</v>
      </c>
      <c r="L42" s="5" t="s">
        <v>14</v>
      </c>
      <c r="M42" s="5" t="s">
        <v>15</v>
      </c>
      <c r="N42" s="5" t="s">
        <v>16</v>
      </c>
      <c r="O42" s="5" t="s">
        <v>17</v>
      </c>
      <c r="P42" s="5" t="s">
        <v>18</v>
      </c>
      <c r="Q42" s="5" t="s">
        <v>19</v>
      </c>
      <c r="R42" s="5" t="s">
        <v>20</v>
      </c>
      <c r="S42" s="5" t="s">
        <v>21</v>
      </c>
      <c r="T42" s="5" t="s">
        <v>22</v>
      </c>
      <c r="U42" s="5" t="s">
        <v>23</v>
      </c>
      <c r="V42" s="5" t="s">
        <v>24</v>
      </c>
      <c r="W42" s="5" t="s">
        <v>25</v>
      </c>
      <c r="X42" s="5" t="s">
        <v>26</v>
      </c>
      <c r="Y42" s="5" t="s">
        <v>27</v>
      </c>
      <c r="Z42" s="3"/>
      <c r="AA42" s="3"/>
      <c r="AB42" s="3"/>
    </row>
    <row r="43">
      <c r="A43" s="27"/>
      <c r="B43" s="13" t="s">
        <v>179</v>
      </c>
      <c r="C43" s="19" t="s">
        <v>34</v>
      </c>
      <c r="D43" s="19" t="s">
        <v>34</v>
      </c>
      <c r="E43" s="19" t="s">
        <v>34</v>
      </c>
      <c r="F43" s="19" t="s">
        <v>34</v>
      </c>
      <c r="G43" s="19" t="s">
        <v>34</v>
      </c>
      <c r="H43" s="19" t="s">
        <v>34</v>
      </c>
      <c r="I43" s="19" t="s">
        <v>36</v>
      </c>
      <c r="J43" s="19" t="s">
        <v>36</v>
      </c>
      <c r="K43" s="19" t="s">
        <v>36</v>
      </c>
      <c r="L43" s="19" t="s">
        <v>36</v>
      </c>
      <c r="M43" s="19" t="s">
        <v>36</v>
      </c>
      <c r="N43" s="19" t="s">
        <v>36</v>
      </c>
      <c r="O43" s="19" t="s">
        <v>193</v>
      </c>
      <c r="P43" s="19" t="s">
        <v>193</v>
      </c>
      <c r="Q43" s="19" t="s">
        <v>193</v>
      </c>
      <c r="R43" s="19" t="s">
        <v>32</v>
      </c>
      <c r="S43" s="19" t="s">
        <v>32</v>
      </c>
      <c r="T43" s="19" t="s">
        <v>32</v>
      </c>
      <c r="U43" s="19" t="s">
        <v>32</v>
      </c>
      <c r="V43" s="19" t="s">
        <v>194</v>
      </c>
      <c r="W43" s="233"/>
      <c r="X43" s="233"/>
      <c r="Y43" s="233"/>
      <c r="Z43" s="3"/>
      <c r="AA43" s="3"/>
      <c r="AB43" s="3"/>
    </row>
    <row r="44" ht="30.0" customHeight="1">
      <c r="A44" s="27"/>
      <c r="B44" s="29"/>
      <c r="C44" s="34" t="str">
        <f>HYPERLINK("https://www.youtube.com/watch?v=ZNfMmPy66II","การอ่านจับใจความสารคดี")</f>
        <v>การอ่านจับใจความสารคดี</v>
      </c>
      <c r="D44" s="34" t="str">
        <f>HYPERLINK("https://www.youtube.com/watch?v=UGAizMr43jQ","การอ่านจับใจความบทความ")</f>
        <v>การอ่านจับใจความบทความ</v>
      </c>
      <c r="E44" s="34" t="str">
        <f>HYPERLINK("https://www.youtube.com/watch?v=LylzCmGzyBs","การอ่านงานเขียนเชิงอธิบาย")</f>
        <v>การอ่านงานเขียนเชิงอธิบาย</v>
      </c>
      <c r="F44" s="34" t="str">
        <f>HYPERLINK("https://www.youtube.com/watch?v=-5-StDaOQFY","การเลือกอ่านหนังสือตามความสนใจ")</f>
        <v>การเลือกอ่านหนังสือตามความสนใจ</v>
      </c>
      <c r="G44" s="55" t="s">
        <v>797</v>
      </c>
      <c r="H44" s="55" t="s">
        <v>798</v>
      </c>
      <c r="I44" s="55" t="s">
        <v>799</v>
      </c>
      <c r="J44" s="46" t="s">
        <v>800</v>
      </c>
      <c r="K44" s="46" t="s">
        <v>801</v>
      </c>
      <c r="L44" s="55" t="s">
        <v>802</v>
      </c>
      <c r="M44" s="46" t="s">
        <v>803</v>
      </c>
      <c r="N44" s="46" t="s">
        <v>804</v>
      </c>
      <c r="O44" s="46" t="s">
        <v>805</v>
      </c>
      <c r="P44" s="55" t="s">
        <v>806</v>
      </c>
      <c r="Q44" s="46" t="s">
        <v>807</v>
      </c>
      <c r="R44" s="46" t="s">
        <v>808</v>
      </c>
      <c r="S44" s="46" t="s">
        <v>809</v>
      </c>
      <c r="T44" s="46" t="s">
        <v>810</v>
      </c>
      <c r="U44" s="55" t="s">
        <v>811</v>
      </c>
      <c r="V44" s="46" t="s">
        <v>812</v>
      </c>
      <c r="W44" s="46" t="s">
        <v>813</v>
      </c>
      <c r="X44" s="55" t="s">
        <v>814</v>
      </c>
      <c r="Y44" s="55" t="s">
        <v>808</v>
      </c>
      <c r="Z44" s="3"/>
      <c r="AA44" s="3"/>
      <c r="AB44" s="3"/>
    </row>
    <row r="45">
      <c r="A45" s="27"/>
      <c r="B45" s="29"/>
      <c r="C45" s="10" t="s">
        <v>820</v>
      </c>
      <c r="D45" s="10" t="s">
        <v>820</v>
      </c>
      <c r="E45" s="10" t="s">
        <v>820</v>
      </c>
      <c r="F45" s="10" t="s">
        <v>820</v>
      </c>
      <c r="G45" s="10" t="s">
        <v>820</v>
      </c>
      <c r="H45" s="10" t="s">
        <v>820</v>
      </c>
      <c r="I45" s="10" t="s">
        <v>826</v>
      </c>
      <c r="J45" s="10" t="s">
        <v>826</v>
      </c>
      <c r="K45" s="52" t="s">
        <v>829</v>
      </c>
      <c r="L45" s="52" t="s">
        <v>829</v>
      </c>
      <c r="M45" s="75" t="s">
        <v>832</v>
      </c>
      <c r="N45" s="75" t="s">
        <v>832</v>
      </c>
      <c r="O45" s="10" t="s">
        <v>820</v>
      </c>
      <c r="P45" s="75" t="s">
        <v>835</v>
      </c>
      <c r="Q45" s="75" t="s">
        <v>832</v>
      </c>
      <c r="R45" s="52" t="s">
        <v>836</v>
      </c>
      <c r="S45" s="10" t="s">
        <v>820</v>
      </c>
      <c r="T45" s="75" t="s">
        <v>832</v>
      </c>
      <c r="U45" s="75" t="s">
        <v>835</v>
      </c>
      <c r="V45" s="10" t="s">
        <v>820</v>
      </c>
      <c r="W45" s="10" t="s">
        <v>820</v>
      </c>
      <c r="X45" s="10" t="s">
        <v>820</v>
      </c>
      <c r="Y45" s="10" t="s">
        <v>820</v>
      </c>
      <c r="Z45" s="3"/>
      <c r="AA45" s="3"/>
      <c r="AB45" s="3"/>
    </row>
    <row r="46">
      <c r="A46" s="27"/>
      <c r="B46" s="29"/>
      <c r="C46" s="10" t="s">
        <v>839</v>
      </c>
      <c r="D46" s="10" t="s">
        <v>839</v>
      </c>
      <c r="E46" s="10" t="s">
        <v>839</v>
      </c>
      <c r="F46" s="10" t="s">
        <v>839</v>
      </c>
      <c r="G46" s="10" t="s">
        <v>839</v>
      </c>
      <c r="H46" s="10" t="s">
        <v>839</v>
      </c>
      <c r="I46" s="10" t="s">
        <v>842</v>
      </c>
      <c r="J46" s="10" t="s">
        <v>842</v>
      </c>
      <c r="K46" s="52" t="s">
        <v>843</v>
      </c>
      <c r="L46" s="52" t="s">
        <v>843</v>
      </c>
      <c r="M46" s="75" t="s">
        <v>844</v>
      </c>
      <c r="N46" s="75" t="s">
        <v>844</v>
      </c>
      <c r="O46" s="10" t="s">
        <v>839</v>
      </c>
      <c r="P46" s="75" t="s">
        <v>845</v>
      </c>
      <c r="Q46" s="75" t="s">
        <v>844</v>
      </c>
      <c r="R46" s="52" t="s">
        <v>846</v>
      </c>
      <c r="S46" s="10" t="s">
        <v>839</v>
      </c>
      <c r="T46" s="75" t="s">
        <v>844</v>
      </c>
      <c r="U46" s="75" t="s">
        <v>845</v>
      </c>
      <c r="V46" s="10" t="s">
        <v>839</v>
      </c>
      <c r="W46" s="10" t="s">
        <v>839</v>
      </c>
      <c r="X46" s="10" t="s">
        <v>839</v>
      </c>
      <c r="Y46" s="10" t="s">
        <v>839</v>
      </c>
      <c r="Z46" s="3"/>
      <c r="AA46" s="3"/>
      <c r="AB46" s="3"/>
    </row>
    <row r="47">
      <c r="A47" s="27"/>
      <c r="B47" s="29"/>
      <c r="C47" s="10" t="s">
        <v>106</v>
      </c>
      <c r="D47" s="10" t="s">
        <v>106</v>
      </c>
      <c r="E47" s="10" t="s">
        <v>106</v>
      </c>
      <c r="F47" s="10" t="s">
        <v>106</v>
      </c>
      <c r="G47" s="10" t="s">
        <v>106</v>
      </c>
      <c r="H47" s="10" t="s">
        <v>106</v>
      </c>
      <c r="I47" s="10" t="s">
        <v>861</v>
      </c>
      <c r="J47" s="10" t="s">
        <v>861</v>
      </c>
      <c r="K47" s="52" t="s">
        <v>862</v>
      </c>
      <c r="L47" s="52" t="s">
        <v>862</v>
      </c>
      <c r="M47" s="75" t="s">
        <v>477</v>
      </c>
      <c r="N47" s="75" t="s">
        <v>477</v>
      </c>
      <c r="O47" s="10" t="s">
        <v>106</v>
      </c>
      <c r="P47" s="75" t="s">
        <v>234</v>
      </c>
      <c r="Q47" s="75" t="s">
        <v>477</v>
      </c>
      <c r="R47" s="52" t="s">
        <v>480</v>
      </c>
      <c r="S47" s="10" t="s">
        <v>106</v>
      </c>
      <c r="T47" s="75" t="s">
        <v>477</v>
      </c>
      <c r="U47" s="75" t="s">
        <v>234</v>
      </c>
      <c r="V47" s="10" t="s">
        <v>106</v>
      </c>
      <c r="W47" s="10" t="s">
        <v>106</v>
      </c>
      <c r="X47" s="10" t="s">
        <v>106</v>
      </c>
      <c r="Y47" s="10" t="s">
        <v>106</v>
      </c>
      <c r="Z47" s="3"/>
      <c r="AA47" s="3"/>
      <c r="AB47" s="3"/>
    </row>
    <row r="48">
      <c r="A48" s="27"/>
      <c r="B48" s="29"/>
      <c r="C48" s="237" t="s">
        <v>873</v>
      </c>
      <c r="D48" s="91" t="s">
        <v>873</v>
      </c>
      <c r="E48" s="91" t="s">
        <v>879</v>
      </c>
      <c r="F48" s="91" t="s">
        <v>881</v>
      </c>
      <c r="G48" s="238" t="s">
        <v>884</v>
      </c>
      <c r="H48" s="91" t="s">
        <v>887</v>
      </c>
      <c r="I48" s="91" t="s">
        <v>889</v>
      </c>
      <c r="J48" s="91" t="s">
        <v>890</v>
      </c>
      <c r="K48" s="91" t="s">
        <v>893</v>
      </c>
      <c r="L48" s="91" t="s">
        <v>895</v>
      </c>
      <c r="M48" s="91" t="s">
        <v>898</v>
      </c>
      <c r="N48" s="91" t="s">
        <v>900</v>
      </c>
      <c r="O48" s="91" t="s">
        <v>904</v>
      </c>
      <c r="P48" s="91" t="s">
        <v>907</v>
      </c>
      <c r="Q48" s="91" t="s">
        <v>910</v>
      </c>
      <c r="R48" s="91" t="s">
        <v>913</v>
      </c>
      <c r="S48" s="91" t="s">
        <v>915</v>
      </c>
      <c r="T48" s="91" t="s">
        <v>918</v>
      </c>
      <c r="U48" s="91" t="s">
        <v>921</v>
      </c>
      <c r="V48" s="91" t="s">
        <v>923</v>
      </c>
      <c r="W48" s="91" t="s">
        <v>926</v>
      </c>
      <c r="X48" s="91" t="s">
        <v>928</v>
      </c>
      <c r="Y48" s="91" t="s">
        <v>930</v>
      </c>
      <c r="Z48" s="3"/>
      <c r="AA48" s="3"/>
      <c r="AB48" s="3"/>
    </row>
    <row r="49">
      <c r="A49" s="27"/>
      <c r="B49" s="79"/>
      <c r="C49" s="98" t="str">
        <f>HYPERLINK("https://drive.google.com/folderview?id=0B0x_dulH5-nEZGRub0Q5ZzREakE&amp;usp=sharing","ดาวน์โหลดเอกสารประกอบ")</f>
        <v>ดาวน์โหลดเอกสารประกอบ</v>
      </c>
      <c r="D49" s="110" t="str">
        <f>HYPERLINK("https://drive.google.com/folderview?id=0B0x_dulH5-nEeW5kcGhBOXJUc0k&amp;usp=sharing","ดาวน์โหลดเอกสารประกอบ")</f>
        <v>ดาวน์โหลดเอกสารประกอบ</v>
      </c>
      <c r="E49" s="98" t="str">
        <f>HYPERLINK("https://drive.google.com/folderview?id=0B0x_dulH5-nESmtKaDU3R0hYekU&amp;usp=sharing","ดาวน์โหลดเอกสารประกอบ")</f>
        <v>ดาวน์โหลดเอกสารประกอบ</v>
      </c>
      <c r="F49" s="98" t="str">
        <f>HYPERLINK("https://drive.google.com/folderview?id=0B0x_dulH5-nEZTR2VHJ6aXlCSzQ&amp;usp=sharing","ดาวน์โหลดเอกสารประกอบ")</f>
        <v>ดาวน์โหลดเอกสารประกอบ</v>
      </c>
      <c r="G49" s="152" t="s">
        <v>195</v>
      </c>
      <c r="H49" s="98" t="str">
        <f>HYPERLINK("https://drive.google.com/folderview?id=0B4mky1MMW8dYUHZEMjhXcjhLR0E&amp;usp=sharing","ดาวน์โหลดเอกสารประกอบ")</f>
        <v>ดาวน์โหลดเอกสารประกอบ</v>
      </c>
      <c r="I49" s="98" t="str">
        <f>HYPERLINK("https://drive.google.com/folderview?id=0B0x_dulH5-nEV1pxcmFNTUdkR28&amp;usp=sharing","ดาวน์โหลดเอกสารประกอบ")</f>
        <v>ดาวน์โหลดเอกสารประกอบ</v>
      </c>
      <c r="J49" s="98" t="str">
        <f>HYPERLINK("https://drive.google.com/folderview?id=0B0x_dulH5-nENXBENl9ZUnNkdzA&amp;usp=sharing","ดาวน์โหลดเอกสารประกอบ")</f>
        <v>ดาวน์โหลดเอกสารประกอบ</v>
      </c>
      <c r="K49" s="98" t="str">
        <f>HYPERLINK("https://drive.google.com/folderview?id=0B4mky1MMW8dYflVLR1NRR3hzQWJ0d29qWExvY2FuQTNRV3dGanNQTzhKMTM5ZkF4RlE4eEU&amp;usp=sharing","ดาวน์โหลดเอกสารประกอบ")</f>
        <v>ดาวน์โหลดเอกสารประกอบ</v>
      </c>
      <c r="L49" s="98" t="str">
        <f>HYPERLINK("https://drive.google.com/folderview?id=0B4mky1MMW8dYfkVBSUJTcVgzY0h0NjVDQmlDUmtfODZzMVRKVktFZElHZ3J3eVRtZGhidVk&amp;usp=sharing","ดาวน์โหลดเอกสารประกอบ")</f>
        <v>ดาวน์โหลดเอกสารประกอบ</v>
      </c>
      <c r="M49" s="152" t="s">
        <v>31</v>
      </c>
      <c r="N49" s="152" t="s">
        <v>31</v>
      </c>
      <c r="O49" s="152" t="s">
        <v>31</v>
      </c>
      <c r="P49" s="98" t="str">
        <f>HYPERLINK("https://drive.google.com/folderview?id=0B4mky1MMW8dYfkJDbTF2Q2FiQ2JvNlZzaTNGM2VvWXFPbGZWTGpIc2FhSXZJSkZnbnlZWE0&amp;usp=sharing","ดาวน์โหลดเอกสารประกอบ")</f>
        <v>ดาวน์โหลดเอกสารประกอบ</v>
      </c>
      <c r="Q49" s="152" t="s">
        <v>31</v>
      </c>
      <c r="R49" s="98" t="str">
        <f>HYPERLINK("https://drive.google.com/folderview?id=0B4mky1MMW8dYfmtjWnZSa3I3NnJrME52NjFaRXgydWZyNjlINlBTcEx2aUZxZ1ZKVk9LYms&amp;usp=sharing","ดาวน์โหลดเอกสารประกอบ")</f>
        <v>ดาวน์โหลดเอกสารประกอบ</v>
      </c>
      <c r="S49" s="152" t="s">
        <v>31</v>
      </c>
      <c r="T49" s="152" t="s">
        <v>195</v>
      </c>
      <c r="U49" s="98" t="str">
        <f>HYPERLINK("https://drive.google.com/folderview?id=0B4mky1MMW8dYflZGcmN4YlRNMF9JRWtkZGZNZHljbG1qWENJNlJZcjdxekhSWVZmZnhzb0U&amp;usp=sharing","ดาวน์โหลดเอกสารประกอบ")</f>
        <v>ดาวน์โหลดเอกสารประกอบ</v>
      </c>
      <c r="V49" s="152" t="s">
        <v>31</v>
      </c>
      <c r="W49" s="94" t="s">
        <v>195</v>
      </c>
      <c r="X49" s="94" t="s">
        <v>195</v>
      </c>
      <c r="Y49" s="94" t="s">
        <v>195</v>
      </c>
      <c r="Z49" s="3"/>
      <c r="AA49" s="3"/>
      <c r="AB49" s="3"/>
    </row>
    <row r="50">
      <c r="A50" s="27"/>
      <c r="B50" s="5" t="s">
        <v>3</v>
      </c>
      <c r="C50" s="5" t="s">
        <v>4</v>
      </c>
      <c r="D50" s="12" t="s">
        <v>5</v>
      </c>
      <c r="E50" s="5" t="s">
        <v>6</v>
      </c>
      <c r="F50" s="5" t="s">
        <v>8</v>
      </c>
      <c r="G50" s="5" t="s">
        <v>9</v>
      </c>
      <c r="H50" s="5" t="s">
        <v>10</v>
      </c>
      <c r="I50" s="5" t="s">
        <v>11</v>
      </c>
      <c r="J50" s="5" t="s">
        <v>12</v>
      </c>
      <c r="K50" s="5" t="s">
        <v>13</v>
      </c>
      <c r="L50" s="5" t="s">
        <v>14</v>
      </c>
      <c r="M50" s="5" t="s">
        <v>15</v>
      </c>
      <c r="N50" s="5" t="s">
        <v>16</v>
      </c>
      <c r="O50" s="5" t="s">
        <v>17</v>
      </c>
      <c r="P50" s="5" t="s">
        <v>18</v>
      </c>
      <c r="Q50" s="5" t="s">
        <v>19</v>
      </c>
      <c r="R50" s="5" t="s">
        <v>20</v>
      </c>
      <c r="S50" s="5" t="s">
        <v>21</v>
      </c>
      <c r="T50" s="5" t="s">
        <v>22</v>
      </c>
      <c r="U50" s="5" t="s">
        <v>23</v>
      </c>
      <c r="V50" s="5" t="s">
        <v>24</v>
      </c>
      <c r="W50" s="4"/>
      <c r="X50" s="3"/>
      <c r="Y50" s="3"/>
      <c r="Z50" s="3"/>
      <c r="AA50" s="3"/>
      <c r="AB50" s="3"/>
    </row>
    <row r="51">
      <c r="A51" s="27"/>
      <c r="B51" s="13" t="s">
        <v>184</v>
      </c>
      <c r="C51" s="19" t="s">
        <v>34</v>
      </c>
      <c r="D51" s="19"/>
      <c r="E51" s="19"/>
      <c r="F51" s="19"/>
      <c r="G51" s="19"/>
      <c r="H51" s="19"/>
      <c r="I51" s="19"/>
      <c r="J51" s="19"/>
      <c r="K51" s="19" t="s">
        <v>36</v>
      </c>
      <c r="L51" s="19"/>
      <c r="M51" s="19"/>
      <c r="N51" s="141" t="s">
        <v>194</v>
      </c>
      <c r="O51" s="19"/>
      <c r="P51" s="19" t="s">
        <v>193</v>
      </c>
      <c r="Q51" s="141" t="s">
        <v>194</v>
      </c>
      <c r="R51" s="141" t="s">
        <v>194</v>
      </c>
      <c r="S51" s="141" t="s">
        <v>194</v>
      </c>
      <c r="T51" s="10"/>
      <c r="U51" s="10"/>
      <c r="V51" s="10"/>
      <c r="W51" s="4"/>
      <c r="X51" s="3"/>
      <c r="Y51" s="3"/>
      <c r="Z51" s="3"/>
      <c r="AA51" s="3"/>
      <c r="AB51" s="3"/>
    </row>
    <row r="52" ht="75.0" customHeight="1">
      <c r="A52" s="27"/>
      <c r="B52" s="29"/>
      <c r="C52" s="39" t="str">
        <f>HYPERLINK("https://www.youtube.com/watch?v=vINrXpjaNg8&amp;feature=youtu.be","การอ่านจับใจความสำคัญ ตอน 1")</f>
        <v>การอ่านจับใจความสำคัญ ตอน 1</v>
      </c>
      <c r="D52" s="39" t="str">
        <f>HYPERLINK("https://www.youtube.com/watch?v=R2WN_z4dvds&amp;feature=youtu.be","การอ่านจับใจความสำคัญ ตอน 2")</f>
        <v>การอ่านจับใจความสำคัญ ตอน 2</v>
      </c>
      <c r="E52" s="55" t="s">
        <v>947</v>
      </c>
      <c r="F52" s="55" t="s">
        <v>949</v>
      </c>
      <c r="G52" s="46" t="s">
        <v>951</v>
      </c>
      <c r="H52" s="46" t="s">
        <v>953</v>
      </c>
      <c r="I52" s="46" t="s">
        <v>955</v>
      </c>
      <c r="J52" s="46" t="s">
        <v>957</v>
      </c>
      <c r="K52" s="46" t="s">
        <v>959</v>
      </c>
      <c r="L52" s="46" t="s">
        <v>961</v>
      </c>
      <c r="M52" s="46" t="s">
        <v>963</v>
      </c>
      <c r="N52" s="55" t="s">
        <v>965</v>
      </c>
      <c r="O52" s="46" t="s">
        <v>967</v>
      </c>
      <c r="P52" s="46" t="s">
        <v>969</v>
      </c>
      <c r="Q52" s="55" t="s">
        <v>971</v>
      </c>
      <c r="R52" s="55" t="s">
        <v>973</v>
      </c>
      <c r="S52" s="55" t="s">
        <v>974</v>
      </c>
      <c r="T52" s="55" t="s">
        <v>975</v>
      </c>
      <c r="U52" s="55" t="s">
        <v>976</v>
      </c>
      <c r="V52" s="55" t="s">
        <v>977</v>
      </c>
      <c r="W52" s="4"/>
      <c r="X52" s="3"/>
      <c r="Y52" s="3"/>
      <c r="Z52" s="3"/>
      <c r="AA52" s="3"/>
      <c r="AB52" s="3"/>
    </row>
    <row r="53">
      <c r="A53" s="27"/>
      <c r="B53" s="29"/>
      <c r="C53" s="75" t="s">
        <v>980</v>
      </c>
      <c r="D53" s="75" t="s">
        <v>980</v>
      </c>
      <c r="E53" s="75" t="s">
        <v>980</v>
      </c>
      <c r="F53" s="75" t="s">
        <v>980</v>
      </c>
      <c r="G53" s="10" t="s">
        <v>981</v>
      </c>
      <c r="H53" s="10" t="s">
        <v>981</v>
      </c>
      <c r="I53" s="10" t="s">
        <v>981</v>
      </c>
      <c r="J53" s="10" t="s">
        <v>981</v>
      </c>
      <c r="K53" s="75" t="s">
        <v>982</v>
      </c>
      <c r="L53" s="75" t="s">
        <v>982</v>
      </c>
      <c r="M53" s="75" t="s">
        <v>982</v>
      </c>
      <c r="N53" s="75" t="s">
        <v>984</v>
      </c>
      <c r="O53" s="75" t="s">
        <v>982</v>
      </c>
      <c r="P53" s="75" t="s">
        <v>985</v>
      </c>
      <c r="Q53" s="75" t="s">
        <v>984</v>
      </c>
      <c r="R53" s="75" t="s">
        <v>984</v>
      </c>
      <c r="S53" s="75" t="s">
        <v>984</v>
      </c>
      <c r="T53" s="75" t="s">
        <v>985</v>
      </c>
      <c r="U53" s="75" t="s">
        <v>985</v>
      </c>
      <c r="V53" s="75" t="s">
        <v>985</v>
      </c>
      <c r="W53" s="4"/>
      <c r="X53" s="3"/>
      <c r="Y53" s="3"/>
      <c r="Z53" s="3"/>
      <c r="AA53" s="3"/>
      <c r="AB53" s="3"/>
    </row>
    <row r="54">
      <c r="A54" s="27"/>
      <c r="B54" s="29"/>
      <c r="C54" s="10" t="s">
        <v>994</v>
      </c>
      <c r="D54" s="10" t="s">
        <v>994</v>
      </c>
      <c r="E54" s="10" t="s">
        <v>994</v>
      </c>
      <c r="F54" s="10" t="s">
        <v>994</v>
      </c>
      <c r="G54" s="10" t="s">
        <v>998</v>
      </c>
      <c r="H54" s="10" t="s">
        <v>998</v>
      </c>
      <c r="I54" s="10" t="s">
        <v>998</v>
      </c>
      <c r="J54" s="10" t="s">
        <v>998</v>
      </c>
      <c r="K54" s="75" t="s">
        <v>1002</v>
      </c>
      <c r="L54" s="75" t="s">
        <v>1002</v>
      </c>
      <c r="M54" s="75" t="s">
        <v>1002</v>
      </c>
      <c r="N54" s="75" t="s">
        <v>1006</v>
      </c>
      <c r="O54" s="75" t="s">
        <v>1002</v>
      </c>
      <c r="P54" s="75" t="s">
        <v>1009</v>
      </c>
      <c r="Q54" s="75" t="s">
        <v>1006</v>
      </c>
      <c r="R54" s="75" t="s">
        <v>1006</v>
      </c>
      <c r="S54" s="75" t="s">
        <v>1006</v>
      </c>
      <c r="T54" s="75" t="s">
        <v>1009</v>
      </c>
      <c r="U54" s="75" t="s">
        <v>1009</v>
      </c>
      <c r="V54" s="75" t="s">
        <v>1009</v>
      </c>
      <c r="W54" s="4"/>
      <c r="X54" s="3"/>
      <c r="Y54" s="3"/>
      <c r="Z54" s="3"/>
      <c r="AA54" s="3"/>
      <c r="AB54" s="3"/>
    </row>
    <row r="55">
      <c r="A55" s="27"/>
      <c r="B55" s="29"/>
      <c r="C55" s="10" t="s">
        <v>1012</v>
      </c>
      <c r="D55" s="10" t="s">
        <v>1012</v>
      </c>
      <c r="E55" s="10" t="s">
        <v>1012</v>
      </c>
      <c r="F55" s="10" t="s">
        <v>1012</v>
      </c>
      <c r="G55" s="10" t="s">
        <v>1014</v>
      </c>
      <c r="H55" s="10" t="s">
        <v>1014</v>
      </c>
      <c r="I55" s="10" t="s">
        <v>1014</v>
      </c>
      <c r="J55" s="10" t="s">
        <v>1014</v>
      </c>
      <c r="K55" s="75" t="s">
        <v>1016</v>
      </c>
      <c r="L55" s="75" t="s">
        <v>1016</v>
      </c>
      <c r="M55" s="75" t="s">
        <v>1016</v>
      </c>
      <c r="N55" s="75" t="s">
        <v>1018</v>
      </c>
      <c r="O55" s="75" t="s">
        <v>1016</v>
      </c>
      <c r="P55" s="75" t="s">
        <v>1019</v>
      </c>
      <c r="Q55" s="75" t="s">
        <v>1018</v>
      </c>
      <c r="R55" s="75" t="s">
        <v>1018</v>
      </c>
      <c r="S55" s="75" t="s">
        <v>1018</v>
      </c>
      <c r="T55" s="75" t="s">
        <v>1019</v>
      </c>
      <c r="U55" s="75" t="s">
        <v>1019</v>
      </c>
      <c r="V55" s="75" t="s">
        <v>1019</v>
      </c>
      <c r="W55" s="4"/>
      <c r="X55" s="3"/>
      <c r="Y55" s="3"/>
      <c r="Z55" s="3"/>
      <c r="AA55" s="3"/>
      <c r="AB55" s="3"/>
    </row>
    <row r="56">
      <c r="A56" s="27"/>
      <c r="B56" s="29"/>
      <c r="C56" s="237" t="s">
        <v>1022</v>
      </c>
      <c r="D56" s="91" t="s">
        <v>1026</v>
      </c>
      <c r="E56" s="91" t="s">
        <v>1029</v>
      </c>
      <c r="F56" s="91" t="s">
        <v>1032</v>
      </c>
      <c r="G56" s="91" t="s">
        <v>1036</v>
      </c>
      <c r="H56" s="91" t="s">
        <v>1039</v>
      </c>
      <c r="I56" s="91" t="s">
        <v>1042</v>
      </c>
      <c r="J56" s="91" t="s">
        <v>1045</v>
      </c>
      <c r="K56" s="91" t="s">
        <v>1048</v>
      </c>
      <c r="L56" s="245" t="s">
        <v>1051</v>
      </c>
      <c r="M56" s="91" t="s">
        <v>1058</v>
      </c>
      <c r="N56" s="91" t="s">
        <v>1061</v>
      </c>
      <c r="O56" s="91" t="s">
        <v>1064</v>
      </c>
      <c r="P56" s="91" t="s">
        <v>1068</v>
      </c>
      <c r="Q56" s="91" t="s">
        <v>1070</v>
      </c>
      <c r="R56" s="91" t="s">
        <v>1072</v>
      </c>
      <c r="S56" s="91" t="s">
        <v>1075</v>
      </c>
      <c r="T56" s="91" t="s">
        <v>1078</v>
      </c>
      <c r="U56" s="91" t="s">
        <v>1081</v>
      </c>
      <c r="V56" s="91" t="s">
        <v>1083</v>
      </c>
      <c r="W56" s="4"/>
      <c r="X56" s="3"/>
      <c r="Y56" s="3"/>
      <c r="Z56" s="3"/>
      <c r="AA56" s="3"/>
      <c r="AB56" s="3"/>
    </row>
    <row r="57">
      <c r="A57" s="27"/>
      <c r="B57" s="79"/>
      <c r="C57" s="83" t="str">
        <f>HYPERLINK("https://drive.google.com/folderview?id=0B4mky1MMW8dYfjA1SW45VEpFY2Z1bW1yNXYtb2taNkVSakNyQzQ4R1lCeFdKZUpwYUJYSTg&amp;usp=sharing","ดาวน์โหลดเอกสารประกอบ")</f>
        <v>ดาวน์โหลดเอกสารประกอบ</v>
      </c>
      <c r="D57" s="98" t="str">
        <f>HYPERLINK("https://drive.google.com/folderview?id=0B4mky1MMW8dYfkZsNlAzZDllYzRlc3c3YXVUcGY5cGdGN3BMSmN6T1BqdFY5anBxRXhTcjQ&amp;usp=sharing","ดาวน์โหลดเอกสารประกอบ")</f>
        <v>ดาวน์โหลดเอกสารประกอบ</v>
      </c>
      <c r="E57" s="98" t="str">
        <f>HYPERLINK("https://drive.google.com/folderview?id=0B4mky1MMW8dYfmROampsSDlaTjBfekdQSzBjYzlQTmtqOHh0NWdBNUpVS2V4QUZPSlZHNnM&amp;usp=sharing","ดาวน์โหลดเอกสารประกอบ")</f>
        <v>ดาวน์โหลดเอกสารประกอบ</v>
      </c>
      <c r="F57" s="98" t="str">
        <f>HYPERLINK("https://drive.google.com/folderview?id=0B4mky1MMW8dYfi1rN1JWaHVzUHg4eG9OQTVSbF9hNG9lZjF1RWZVSUstVmQxeWNRbVJDVWs&amp;usp=sharing","ดาวน์โหลดเอกสารประกอบ")</f>
        <v>ดาวน์โหลดเอกสารประกอบ</v>
      </c>
      <c r="G57" s="98" t="str">
        <f>HYPERLINK("https://drive.google.com/folderview?id=0B0x_dulH5-nEbHlRNHByMmFFd2s&amp;usp=sharing","ดาวน์โหลดเอกสารประกอบ")</f>
        <v>ดาวน์โหลดเอกสารประกอบ</v>
      </c>
      <c r="H57" s="98" t="str">
        <f>HYPERLINK("https://drive.google.com/folderview?id=0B0x_dulH5-nEVUVZRFl3YjhqTlE&amp;usp=sharing","ดาวน์โหลดเอกสารประกอบ")</f>
        <v>ดาวน์โหลดเอกสารประกอบ</v>
      </c>
      <c r="I57" s="152" t="s">
        <v>31</v>
      </c>
      <c r="J57" s="152" t="s">
        <v>31</v>
      </c>
      <c r="K57" s="98" t="str">
        <f>HYPERLINK("https://drive.google.com/folderview?id=0BydHLJgPtYsXfkhIc3Fzb1VwZXRuZmZZTGsxM1dhRXdSTF9McW5MYjFNZ1dlYkVqRkV2bjA&amp;usp=sharing","ดาวน์โหลดเอกสารประกอบ")</f>
        <v>ดาวน์โหลดเอกสารประกอบ</v>
      </c>
      <c r="L57" s="152" t="s">
        <v>31</v>
      </c>
      <c r="M57" s="98" t="str">
        <f>HYPERLINK("https://drive.google.com/folderview?id=0BydHLJgPtYsXflZpM1lsUlU0ZUdaOGVqWWMxMHNGVzlDdzZLaHFrTWpmUmJiazA1QVFUZEE&amp;usp=sharing","ดาวน์โหลดเอกสารประกอบ")</f>
        <v>ดาวน์โหลดเอกสารประกอบ</v>
      </c>
      <c r="N57" s="152" t="s">
        <v>31</v>
      </c>
      <c r="O57" s="98" t="str">
        <f>HYPERLINK("https://drive.google.com/folderview?id=0BydHLJgPtYsXfjNxM1hFdW1LamtJaEtMNFZxTDZpcG5CQzhLMFhuT0dGbS1WajhTZjJvTE0&amp;usp=sharing","ดาวน์โหลดเอกสารประกอบ")</f>
        <v>ดาวน์โหลดเอกสารประกอบ</v>
      </c>
      <c r="P57" s="152" t="s">
        <v>31</v>
      </c>
      <c r="Q57" s="152" t="s">
        <v>31</v>
      </c>
      <c r="R57" s="152" t="s">
        <v>31</v>
      </c>
      <c r="S57" s="152" t="s">
        <v>31</v>
      </c>
      <c r="T57" s="152" t="s">
        <v>31</v>
      </c>
      <c r="U57" s="152" t="s">
        <v>31</v>
      </c>
      <c r="V57" s="152" t="s">
        <v>31</v>
      </c>
      <c r="W57" s="4"/>
      <c r="X57" s="3"/>
      <c r="Y57" s="3"/>
      <c r="Z57" s="3"/>
      <c r="AA57" s="3"/>
      <c r="AB57" s="3"/>
    </row>
    <row r="58">
      <c r="A58" s="27"/>
      <c r="B58" s="5" t="s">
        <v>3</v>
      </c>
      <c r="C58" s="5" t="s">
        <v>4</v>
      </c>
      <c r="D58" s="12" t="s">
        <v>5</v>
      </c>
      <c r="E58" s="5" t="s">
        <v>6</v>
      </c>
      <c r="F58" s="5" t="s">
        <v>8</v>
      </c>
      <c r="G58" s="5" t="s">
        <v>9</v>
      </c>
      <c r="H58" s="5" t="s">
        <v>10</v>
      </c>
      <c r="I58" s="5" t="s">
        <v>11</v>
      </c>
      <c r="J58" s="5" t="s">
        <v>12</v>
      </c>
      <c r="K58" s="5" t="s">
        <v>13</v>
      </c>
      <c r="L58" s="5" t="s">
        <v>14</v>
      </c>
      <c r="M58" s="5" t="s">
        <v>15</v>
      </c>
      <c r="N58" s="5" t="s">
        <v>16</v>
      </c>
      <c r="O58" s="5" t="s">
        <v>17</v>
      </c>
      <c r="P58" s="5" t="s">
        <v>18</v>
      </c>
      <c r="Q58" s="5" t="s">
        <v>19</v>
      </c>
      <c r="R58" s="5" t="s">
        <v>20</v>
      </c>
      <c r="S58" s="5" t="s">
        <v>21</v>
      </c>
      <c r="T58" s="5" t="s">
        <v>22</v>
      </c>
      <c r="U58" s="5" t="s">
        <v>23</v>
      </c>
      <c r="V58" s="5" t="s">
        <v>24</v>
      </c>
      <c r="W58" s="202"/>
      <c r="X58" s="3"/>
      <c r="Y58" s="3"/>
      <c r="Z58" s="3"/>
      <c r="AA58" s="3"/>
      <c r="AB58" s="3"/>
    </row>
    <row r="59">
      <c r="A59" s="27"/>
      <c r="B59" s="248" t="s">
        <v>196</v>
      </c>
      <c r="C59" s="19" t="s">
        <v>34</v>
      </c>
      <c r="D59" s="19" t="s">
        <v>34</v>
      </c>
      <c r="E59" s="19" t="s">
        <v>34</v>
      </c>
      <c r="F59" s="19" t="s">
        <v>36</v>
      </c>
      <c r="G59" s="19" t="s">
        <v>36</v>
      </c>
      <c r="H59" s="19" t="s">
        <v>36</v>
      </c>
      <c r="I59" s="19" t="s">
        <v>32</v>
      </c>
      <c r="J59" s="19" t="s">
        <v>32</v>
      </c>
      <c r="K59" s="19"/>
      <c r="L59" s="19"/>
      <c r="M59" s="19"/>
      <c r="N59" s="19" t="s">
        <v>32</v>
      </c>
      <c r="O59" s="19" t="s">
        <v>193</v>
      </c>
      <c r="P59" s="141" t="s">
        <v>36</v>
      </c>
      <c r="Q59" s="141" t="s">
        <v>36</v>
      </c>
      <c r="R59" s="141" t="s">
        <v>36</v>
      </c>
      <c r="S59" s="19" t="s">
        <v>194</v>
      </c>
      <c r="T59" s="19" t="s">
        <v>194</v>
      </c>
      <c r="U59" s="54" t="s">
        <v>193</v>
      </c>
      <c r="V59" s="203" t="s">
        <v>193</v>
      </c>
      <c r="W59" s="252"/>
      <c r="X59" s="3"/>
      <c r="Y59" s="3"/>
      <c r="Z59" s="3"/>
      <c r="AA59" s="3"/>
      <c r="AB59" s="3"/>
    </row>
    <row r="60" ht="30.0" customHeight="1">
      <c r="A60" s="27"/>
      <c r="B60" s="29"/>
      <c r="C60" s="34" t="str">
        <f>HYPERLINK("https://www.youtube.com/watch?v=YXfvF0YAWLg","การจับใจความสำคัญจากการอ่านบทความ")</f>
        <v>การจับใจความสำคัญจากการอ่านบทความ</v>
      </c>
      <c r="D60" s="55" t="s">
        <v>1129</v>
      </c>
      <c r="E60" s="34" t="str">
        <f>HYPERLINK("https://www.youtube.com/watch?v=HFh85L6jCAs","การอ่านวิเคราะห์สาร")</f>
        <v>การอ่านวิเคราะห์สาร</v>
      </c>
      <c r="F60" s="46" t="s">
        <v>1148</v>
      </c>
      <c r="G60" s="55" t="s">
        <v>1150</v>
      </c>
      <c r="H60" s="55" t="s">
        <v>1152</v>
      </c>
      <c r="I60" s="46" t="s">
        <v>1153</v>
      </c>
      <c r="J60" s="46" t="s">
        <v>1154</v>
      </c>
      <c r="K60" s="46" t="s">
        <v>1157</v>
      </c>
      <c r="L60" s="46" t="s">
        <v>1158</v>
      </c>
      <c r="M60" s="46" t="s">
        <v>1159</v>
      </c>
      <c r="N60" s="46" t="s">
        <v>1160</v>
      </c>
      <c r="O60" s="55" t="s">
        <v>1162</v>
      </c>
      <c r="P60" s="55" t="s">
        <v>1163</v>
      </c>
      <c r="Q60" s="55" t="s">
        <v>1164</v>
      </c>
      <c r="R60" s="55" t="s">
        <v>1165</v>
      </c>
      <c r="S60" s="255" t="s">
        <v>1166</v>
      </c>
      <c r="T60" s="256" t="s">
        <v>1171</v>
      </c>
      <c r="U60" s="257" t="s">
        <v>1177</v>
      </c>
      <c r="V60" s="258" t="s">
        <v>1178</v>
      </c>
      <c r="W60" s="252"/>
      <c r="X60" s="3"/>
      <c r="Y60" s="3"/>
      <c r="Z60" s="3"/>
      <c r="AA60" s="3"/>
      <c r="AB60" s="3"/>
    </row>
    <row r="61">
      <c r="A61" s="27"/>
      <c r="B61" s="29"/>
      <c r="C61" s="10" t="s">
        <v>1179</v>
      </c>
      <c r="D61" s="10" t="s">
        <v>1179</v>
      </c>
      <c r="E61" s="10" t="s">
        <v>1179</v>
      </c>
      <c r="F61" s="10" t="s">
        <v>1179</v>
      </c>
      <c r="G61" s="10" t="s">
        <v>1181</v>
      </c>
      <c r="H61" s="10" t="s">
        <v>1181</v>
      </c>
      <c r="I61" s="10" t="s">
        <v>1182</v>
      </c>
      <c r="J61" s="10" t="s">
        <v>1182</v>
      </c>
      <c r="K61" s="10" t="s">
        <v>1182</v>
      </c>
      <c r="L61" s="10" t="s">
        <v>1182</v>
      </c>
      <c r="M61" s="10" t="s">
        <v>1182</v>
      </c>
      <c r="N61" s="10" t="s">
        <v>1181</v>
      </c>
      <c r="O61" s="10" t="s">
        <v>1181</v>
      </c>
      <c r="P61" s="75" t="s">
        <v>1184</v>
      </c>
      <c r="Q61" s="75" t="s">
        <v>1184</v>
      </c>
      <c r="R61" s="75" t="s">
        <v>1184</v>
      </c>
      <c r="S61" s="52" t="s">
        <v>1186</v>
      </c>
      <c r="T61" s="53" t="s">
        <v>1186</v>
      </c>
      <c r="U61" s="54" t="s">
        <v>1186</v>
      </c>
      <c r="V61" s="203" t="s">
        <v>1186</v>
      </c>
      <c r="W61" s="252"/>
      <c r="X61" s="3"/>
      <c r="Y61" s="3"/>
      <c r="Z61" s="3"/>
      <c r="AA61" s="3"/>
      <c r="AB61" s="3"/>
    </row>
    <row r="62">
      <c r="A62" s="27"/>
      <c r="B62" s="29"/>
      <c r="C62" s="10" t="s">
        <v>1105</v>
      </c>
      <c r="D62" s="10" t="s">
        <v>1105</v>
      </c>
      <c r="E62" s="10" t="s">
        <v>1105</v>
      </c>
      <c r="F62" s="10" t="s">
        <v>1105</v>
      </c>
      <c r="G62" s="10" t="s">
        <v>998</v>
      </c>
      <c r="H62" s="10" t="s">
        <v>998</v>
      </c>
      <c r="I62" s="10" t="s">
        <v>1190</v>
      </c>
      <c r="J62" s="10" t="s">
        <v>1190</v>
      </c>
      <c r="K62" s="10" t="s">
        <v>1190</v>
      </c>
      <c r="L62" s="10" t="s">
        <v>1190</v>
      </c>
      <c r="M62" s="10" t="s">
        <v>1190</v>
      </c>
      <c r="N62" s="10" t="s">
        <v>998</v>
      </c>
      <c r="O62" s="10" t="s">
        <v>998</v>
      </c>
      <c r="P62" s="75" t="s">
        <v>1006</v>
      </c>
      <c r="Q62" s="75" t="s">
        <v>1006</v>
      </c>
      <c r="R62" s="75" t="s">
        <v>1006</v>
      </c>
      <c r="S62" s="52" t="s">
        <v>1192</v>
      </c>
      <c r="T62" s="53" t="s">
        <v>1193</v>
      </c>
      <c r="U62" s="54" t="s">
        <v>1192</v>
      </c>
      <c r="V62" s="203" t="s">
        <v>1192</v>
      </c>
      <c r="W62" s="252"/>
      <c r="X62" s="3"/>
      <c r="Y62" s="3"/>
      <c r="Z62" s="3"/>
      <c r="AA62" s="3"/>
      <c r="AB62" s="3"/>
    </row>
    <row r="63">
      <c r="A63" s="27"/>
      <c r="B63" s="29"/>
      <c r="C63" s="10" t="s">
        <v>105</v>
      </c>
      <c r="D63" s="10" t="s">
        <v>105</v>
      </c>
      <c r="E63" s="10" t="s">
        <v>105</v>
      </c>
      <c r="F63" s="10" t="s">
        <v>105</v>
      </c>
      <c r="G63" s="10" t="s">
        <v>1014</v>
      </c>
      <c r="H63" s="10" t="s">
        <v>1014</v>
      </c>
      <c r="I63" s="10" t="s">
        <v>1196</v>
      </c>
      <c r="J63" s="10" t="s">
        <v>1196</v>
      </c>
      <c r="K63" s="10" t="s">
        <v>1196</v>
      </c>
      <c r="L63" s="10" t="s">
        <v>1196</v>
      </c>
      <c r="M63" s="10" t="s">
        <v>1196</v>
      </c>
      <c r="N63" s="10" t="s">
        <v>1014</v>
      </c>
      <c r="O63" s="10" t="s">
        <v>1014</v>
      </c>
      <c r="P63" s="75" t="s">
        <v>1018</v>
      </c>
      <c r="Q63" s="75" t="s">
        <v>1018</v>
      </c>
      <c r="R63" s="75" t="s">
        <v>1018</v>
      </c>
      <c r="S63" s="52" t="s">
        <v>1197</v>
      </c>
      <c r="T63" s="53" t="s">
        <v>1197</v>
      </c>
      <c r="U63" s="54" t="s">
        <v>1197</v>
      </c>
      <c r="V63" s="203" t="s">
        <v>1197</v>
      </c>
      <c r="W63" s="252"/>
      <c r="X63" s="3"/>
      <c r="Y63" s="3"/>
      <c r="Z63" s="3"/>
      <c r="AA63" s="3"/>
      <c r="AB63" s="3"/>
    </row>
    <row r="64">
      <c r="A64" s="27"/>
      <c r="B64" s="29"/>
      <c r="C64" s="98" t="str">
        <f>HYPERLINK("https://www.youtube.com/watch?v=YXfvF0YAWLg","https://www.youtube.com/watch?v=YXfvF0YAWLg")</f>
        <v>https://www.youtube.com/watch?v=YXfvF0YAWLg</v>
      </c>
      <c r="D64" s="91" t="s">
        <v>1206</v>
      </c>
      <c r="E64" s="98" t="s">
        <v>1208</v>
      </c>
      <c r="F64" s="98" t="s">
        <v>1210</v>
      </c>
      <c r="G64" s="91" t="s">
        <v>1211</v>
      </c>
      <c r="H64" s="91" t="s">
        <v>1212</v>
      </c>
      <c r="I64" s="91" t="s">
        <v>1213</v>
      </c>
      <c r="J64" s="91" t="s">
        <v>1214</v>
      </c>
      <c r="K64" s="91" t="s">
        <v>1215</v>
      </c>
      <c r="L64" s="91" t="s">
        <v>1216</v>
      </c>
      <c r="M64" s="91" t="s">
        <v>1217</v>
      </c>
      <c r="N64" s="91" t="s">
        <v>1218</v>
      </c>
      <c r="O64" s="260" t="s">
        <v>1219</v>
      </c>
      <c r="P64" s="91" t="s">
        <v>1222</v>
      </c>
      <c r="Q64" s="91" t="s">
        <v>1223</v>
      </c>
      <c r="R64" s="91" t="s">
        <v>1224</v>
      </c>
      <c r="S64" s="91" t="s">
        <v>1225</v>
      </c>
      <c r="T64" s="91" t="s">
        <v>1226</v>
      </c>
      <c r="U64" s="91" t="s">
        <v>1227</v>
      </c>
      <c r="V64" s="78" t="s">
        <v>1228</v>
      </c>
      <c r="W64" s="252"/>
      <c r="X64" s="3"/>
      <c r="Y64" s="3"/>
      <c r="Z64" s="3"/>
      <c r="AA64" s="3"/>
      <c r="AB64" s="3"/>
    </row>
    <row r="65">
      <c r="A65" s="27"/>
      <c r="B65" s="79"/>
      <c r="C65" s="98" t="str">
        <f>HYPERLINK("https://drive.google.com/folderview?id=0B0x_dulH5-nEZlV6MWdwSWVCUVU&amp;usp=sharing","ดาวน์โหลดเอกสารประกอบ")</f>
        <v>ดาวน์โหลดเอกสารประกอบ</v>
      </c>
      <c r="D65" s="98" t="str">
        <f>HYPERLINK("https://drive.google.com/folderview?id=0B0x_dulH5-nEdzI5OW9EOGRMYUk&amp;usp=sharing","ดาวน์โหลดเอกสารประกอบ")</f>
        <v>ดาวน์โหลดเอกสารประกอบ</v>
      </c>
      <c r="E65" s="98" t="str">
        <f t="shared" ref="E65:F65" si="1">HYPERLINK("https://drive.google.com/folderview?id=0B0x_dulH5-nEWVVxa3ZGREJYS2M&amp;usp=sharing","ดาวน์โหลดเอกสารประกอบ")</f>
        <v>ดาวน์โหลดเอกสารประกอบ</v>
      </c>
      <c r="F65" s="98" t="str">
        <f t="shared" si="1"/>
        <v>ดาวน์โหลดเอกสารประกอบ</v>
      </c>
      <c r="G65" s="152" t="s">
        <v>31</v>
      </c>
      <c r="H65" s="152" t="s">
        <v>31</v>
      </c>
      <c r="I65" s="98" t="str">
        <f>HYPERLINK("https://drive.google.com/folderview?id=0B0x_dulH5-nEM1N0SGVsbTl6c2c&amp;usp=sharing","ดาวน์โหลดเอกสารประกอบ")</f>
        <v>ดาวน์โหลดเอกสารประกอบ</v>
      </c>
      <c r="J65" s="98" t="str">
        <f>HYPERLINK("https://drive.google.com/folderview?id=0B0x_dulH5-nEOFN3cml6VTZEbGc&amp;usp=sharing","ดาวน์โหลดเอกสารประกอบ")</f>
        <v>ดาวน์โหลดเอกสารประกอบ</v>
      </c>
      <c r="K65" s="98" t="str">
        <f>HYPERLINK("https://drive.google.com/folderview?id=0B0x_dulH5-nEOUdGOEJNcjBPYVk&amp;usp=sharing","ดาวน์โหลดเอกสารประกอบ")</f>
        <v>ดาวน์โหลดเอกสารประกอบ</v>
      </c>
      <c r="L65" s="98" t="str">
        <f>HYPERLINK("https://drive.google.com/folderview?id=0B0x_dulH5-nETU9QWnhJeFNnQU0&amp;usp=sharing","ดาวน์โหลดเอกสารประกอบ")</f>
        <v>ดาวน์โหลดเอกสารประกอบ</v>
      </c>
      <c r="M65" s="98" t="str">
        <f>HYPERLINK("https://drive.google.com/folderview?id=0B0x_dulH5-nEODhabXBQR1k3ZUU&amp;usp=sharing","ดาวน์โหลดเอกสารประกอบ")</f>
        <v>ดาวน์โหลดเอกสารประกอบ</v>
      </c>
      <c r="N65" s="152" t="s">
        <v>31</v>
      </c>
      <c r="O65" s="152" t="s">
        <v>31</v>
      </c>
      <c r="P65" s="152" t="s">
        <v>31</v>
      </c>
      <c r="Q65" s="152" t="s">
        <v>31</v>
      </c>
      <c r="R65" s="152" t="s">
        <v>31</v>
      </c>
      <c r="S65" s="98" t="str">
        <f>HYPERLINK("https://drive.google.com/folderview?id=0B4mky1MMW8dYfjgzLTBVYWV6V2EtaDhqSHJlZ2Q5MWNId2tlMGpIU2JHem0tS1lFN0Voa28&amp;usp=sharing","ดาวน์โหลดเอกสารประกอบ")</f>
        <v>ดาวน์โหลดเอกสารประกอบ</v>
      </c>
      <c r="T65" s="98" t="str">
        <f>HYPERLINK("https://drive.google.com/folderview?id=0B4mky1MMW8dYfmRrV1VSUTZxQ2w3Y25FWU5ORVJzYlZuUm9GOUgxMUJsci1fTDg5XzBaVlE&amp;usp=sharing","ดาวน์โหลดเอกสารประกอบ")</f>
        <v>ดาวน์โหลดเอกสารประกอบ</v>
      </c>
      <c r="U65" s="106" t="str">
        <f>HYPERLINK("https://drive.google.com/folderview?id=0B4mky1MMW8dYfm1xWERTNHhmYVVSOEJYOV9ZaGxtZ2xuNFFkV1JMSGhIU3B4WkM4WGRJbEE&amp;usp=sharing","ดาวน์โหลดเอกสารประกอบ")</f>
        <v>ดาวน์โหลดเอกสารประกอบ</v>
      </c>
      <c r="V65" s="94" t="s">
        <v>31</v>
      </c>
      <c r="W65" s="252"/>
      <c r="X65" s="3"/>
      <c r="Y65" s="3"/>
      <c r="Z65" s="3"/>
      <c r="AA65" s="3"/>
      <c r="AB65" s="3"/>
    </row>
    <row r="66">
      <c r="A66" s="27"/>
      <c r="B66" s="5" t="s">
        <v>3</v>
      </c>
      <c r="C66" s="5" t="s">
        <v>4</v>
      </c>
      <c r="D66" s="12" t="s">
        <v>5</v>
      </c>
      <c r="E66" s="5" t="s">
        <v>6</v>
      </c>
      <c r="F66" s="5" t="s">
        <v>8</v>
      </c>
      <c r="G66" s="5" t="s">
        <v>9</v>
      </c>
      <c r="H66" s="5" t="s">
        <v>10</v>
      </c>
      <c r="I66" s="5" t="s">
        <v>11</v>
      </c>
      <c r="J66" s="5" t="s">
        <v>12</v>
      </c>
      <c r="K66" s="5" t="s">
        <v>13</v>
      </c>
      <c r="L66" s="5" t="s">
        <v>14</v>
      </c>
      <c r="M66" s="5" t="s">
        <v>15</v>
      </c>
      <c r="N66" s="5" t="s">
        <v>16</v>
      </c>
      <c r="O66" s="5" t="s">
        <v>17</v>
      </c>
      <c r="P66" s="5" t="s">
        <v>18</v>
      </c>
      <c r="Q66" s="5" t="s">
        <v>19</v>
      </c>
      <c r="R66" s="5" t="s">
        <v>20</v>
      </c>
      <c r="S66" s="5" t="s">
        <v>21</v>
      </c>
      <c r="T66" s="5" t="s">
        <v>22</v>
      </c>
      <c r="U66" s="5" t="s">
        <v>23</v>
      </c>
      <c r="V66" s="5" t="s">
        <v>24</v>
      </c>
      <c r="W66" s="4"/>
      <c r="X66" s="3"/>
      <c r="Y66" s="3"/>
      <c r="Z66" s="3"/>
      <c r="AA66" s="3"/>
      <c r="AB66" s="3"/>
    </row>
    <row r="67">
      <c r="A67" s="27"/>
      <c r="B67" s="13" t="s">
        <v>241</v>
      </c>
      <c r="C67" s="21" t="s">
        <v>34</v>
      </c>
      <c r="D67" s="19" t="s">
        <v>34</v>
      </c>
      <c r="E67" s="19" t="s">
        <v>36</v>
      </c>
      <c r="F67" s="19" t="s">
        <v>36</v>
      </c>
      <c r="G67" s="19" t="s">
        <v>193</v>
      </c>
      <c r="H67" s="19" t="s">
        <v>193</v>
      </c>
      <c r="I67" s="19" t="s">
        <v>193</v>
      </c>
      <c r="J67" s="19" t="s">
        <v>193</v>
      </c>
      <c r="K67" s="19" t="s">
        <v>193</v>
      </c>
      <c r="L67" s="19" t="s">
        <v>193</v>
      </c>
      <c r="M67" s="19" t="s">
        <v>32</v>
      </c>
      <c r="N67" s="19" t="s">
        <v>32</v>
      </c>
      <c r="O67" s="141" t="s">
        <v>34</v>
      </c>
      <c r="P67" s="141" t="s">
        <v>193</v>
      </c>
      <c r="Q67" s="141" t="s">
        <v>32</v>
      </c>
      <c r="R67" s="141" t="s">
        <v>32</v>
      </c>
      <c r="S67" s="19" t="s">
        <v>194</v>
      </c>
      <c r="T67" s="19" t="s">
        <v>194</v>
      </c>
      <c r="U67" s="141" t="s">
        <v>193</v>
      </c>
      <c r="V67" s="141" t="s">
        <v>193</v>
      </c>
      <c r="W67" s="4"/>
      <c r="X67" s="3"/>
      <c r="Y67" s="3"/>
      <c r="Z67" s="3"/>
      <c r="AA67" s="3"/>
      <c r="AB67" s="3"/>
    </row>
    <row r="68" ht="45.0" customHeight="1">
      <c r="A68" s="27"/>
      <c r="B68" s="29"/>
      <c r="C68" s="55" t="s">
        <v>1300</v>
      </c>
      <c r="D68" s="46" t="s">
        <v>1302</v>
      </c>
      <c r="E68" s="46" t="s">
        <v>1303</v>
      </c>
      <c r="F68" s="46" t="s">
        <v>1304</v>
      </c>
      <c r="G68" s="34" t="str">
        <f>HYPERLINK("https://www.youtube.com/watch?v=q8ECzwSrEE0&amp;feature=youtu.be","การพูดโน้มน้าว ตอน 1")</f>
        <v>การพูดโน้มน้าว ตอน 1</v>
      </c>
      <c r="H68" s="34" t="str">
        <f>HYPERLINK("https://www.youtube.com/watch?v=OKzBFF2N7II&amp;feature=youtu.be","การพูดโน้มน้าว ตอน 2")</f>
        <v>การพูดโน้มน้าว ตอน 2</v>
      </c>
      <c r="I68" s="46" t="s">
        <v>1312</v>
      </c>
      <c r="J68" s="46" t="s">
        <v>1313</v>
      </c>
      <c r="K68" s="55" t="s">
        <v>1314</v>
      </c>
      <c r="L68" s="55" t="s">
        <v>1315</v>
      </c>
      <c r="M68" s="46" t="s">
        <v>1316</v>
      </c>
      <c r="N68" s="46" t="s">
        <v>1318</v>
      </c>
      <c r="O68" s="55" t="s">
        <v>1319</v>
      </c>
      <c r="P68" s="55" t="s">
        <v>1321</v>
      </c>
      <c r="Q68" s="55" t="s">
        <v>1322</v>
      </c>
      <c r="R68" s="55" t="s">
        <v>1323</v>
      </c>
      <c r="S68" s="46" t="s">
        <v>1324</v>
      </c>
      <c r="T68" s="46" t="s">
        <v>1325</v>
      </c>
      <c r="U68" s="55" t="s">
        <v>1327</v>
      </c>
      <c r="V68" s="55" t="s">
        <v>1328</v>
      </c>
      <c r="W68" s="4"/>
      <c r="X68" s="3"/>
      <c r="Y68" s="3"/>
      <c r="Z68" s="3"/>
      <c r="AA68" s="3"/>
      <c r="AB68" s="3"/>
    </row>
    <row r="69">
      <c r="A69" s="27"/>
      <c r="B69" s="29"/>
      <c r="C69" s="75" t="s">
        <v>1330</v>
      </c>
      <c r="D69" s="75" t="s">
        <v>1330</v>
      </c>
      <c r="E69" s="75" t="s">
        <v>1330</v>
      </c>
      <c r="F69" s="75" t="s">
        <v>1330</v>
      </c>
      <c r="G69" s="10" t="s">
        <v>1331</v>
      </c>
      <c r="H69" s="10" t="s">
        <v>1331</v>
      </c>
      <c r="I69" s="10" t="s">
        <v>1333</v>
      </c>
      <c r="J69" s="10" t="s">
        <v>1333</v>
      </c>
      <c r="K69" s="75" t="s">
        <v>1334</v>
      </c>
      <c r="L69" s="75" t="s">
        <v>1334</v>
      </c>
      <c r="M69" s="10" t="s">
        <v>1335</v>
      </c>
      <c r="N69" s="10" t="s">
        <v>1335</v>
      </c>
      <c r="O69" s="75" t="s">
        <v>1334</v>
      </c>
      <c r="P69" s="75" t="s">
        <v>1334</v>
      </c>
      <c r="Q69" s="75" t="s">
        <v>1336</v>
      </c>
      <c r="R69" s="75" t="s">
        <v>1336</v>
      </c>
      <c r="S69" s="10" t="s">
        <v>1333</v>
      </c>
      <c r="T69" s="10" t="s">
        <v>1333</v>
      </c>
      <c r="U69" s="75" t="s">
        <v>1334</v>
      </c>
      <c r="V69" s="75" t="s">
        <v>1334</v>
      </c>
      <c r="W69" s="4"/>
      <c r="X69" s="3"/>
      <c r="Y69" s="3"/>
      <c r="Z69" s="3"/>
      <c r="AA69" s="3"/>
      <c r="AB69" s="3"/>
    </row>
    <row r="70">
      <c r="A70" s="27"/>
      <c r="B70" s="29"/>
      <c r="C70" s="75" t="s">
        <v>1339</v>
      </c>
      <c r="D70" s="75" t="s">
        <v>1339</v>
      </c>
      <c r="E70" s="75" t="s">
        <v>1339</v>
      </c>
      <c r="F70" s="75" t="s">
        <v>1339</v>
      </c>
      <c r="G70" s="10" t="s">
        <v>1341</v>
      </c>
      <c r="H70" s="10" t="s">
        <v>1341</v>
      </c>
      <c r="I70" s="10" t="s">
        <v>1342</v>
      </c>
      <c r="J70" s="10" t="s">
        <v>1342</v>
      </c>
      <c r="K70" s="75" t="s">
        <v>1344</v>
      </c>
      <c r="L70" s="75" t="s">
        <v>1344</v>
      </c>
      <c r="M70" s="10" t="s">
        <v>998</v>
      </c>
      <c r="N70" s="10" t="s">
        <v>998</v>
      </c>
      <c r="O70" s="75" t="s">
        <v>1344</v>
      </c>
      <c r="P70" s="75" t="s">
        <v>1344</v>
      </c>
      <c r="Q70" s="75" t="s">
        <v>1345</v>
      </c>
      <c r="R70" s="75" t="s">
        <v>1345</v>
      </c>
      <c r="S70" s="10" t="s">
        <v>1342</v>
      </c>
      <c r="T70" s="10" t="s">
        <v>1342</v>
      </c>
      <c r="U70" s="75" t="s">
        <v>1344</v>
      </c>
      <c r="V70" s="75" t="s">
        <v>1344</v>
      </c>
      <c r="W70" s="4"/>
      <c r="X70" s="3"/>
      <c r="Y70" s="3"/>
      <c r="Z70" s="3"/>
      <c r="AA70" s="3"/>
      <c r="AB70" s="3"/>
    </row>
    <row r="71">
      <c r="A71" s="27"/>
      <c r="B71" s="29"/>
      <c r="C71" s="75" t="s">
        <v>1346</v>
      </c>
      <c r="D71" s="75" t="s">
        <v>1346</v>
      </c>
      <c r="E71" s="75" t="s">
        <v>1346</v>
      </c>
      <c r="F71" s="75" t="s">
        <v>1346</v>
      </c>
      <c r="G71" s="10" t="s">
        <v>105</v>
      </c>
      <c r="H71" s="10" t="s">
        <v>105</v>
      </c>
      <c r="I71" s="10" t="s">
        <v>1346</v>
      </c>
      <c r="J71" s="10" t="s">
        <v>1346</v>
      </c>
      <c r="K71" s="75" t="s">
        <v>1031</v>
      </c>
      <c r="L71" s="75" t="s">
        <v>1031</v>
      </c>
      <c r="M71" s="10" t="s">
        <v>1014</v>
      </c>
      <c r="N71" s="10" t="s">
        <v>1014</v>
      </c>
      <c r="O71" s="75" t="s">
        <v>1031</v>
      </c>
      <c r="P71" s="75" t="s">
        <v>1031</v>
      </c>
      <c r="Q71" s="266" t="s">
        <v>1347</v>
      </c>
      <c r="R71" s="266" t="s">
        <v>1347</v>
      </c>
      <c r="S71" s="10" t="s">
        <v>1346</v>
      </c>
      <c r="T71" s="10" t="s">
        <v>1346</v>
      </c>
      <c r="U71" s="75" t="s">
        <v>1031</v>
      </c>
      <c r="V71" s="75" t="s">
        <v>1031</v>
      </c>
      <c r="W71" s="4"/>
      <c r="X71" s="3"/>
      <c r="Y71" s="3"/>
      <c r="Z71" s="3"/>
      <c r="AA71" s="3"/>
      <c r="AB71" s="3"/>
    </row>
    <row r="72">
      <c r="A72" s="27"/>
      <c r="B72" s="29"/>
      <c r="C72" s="81" t="s">
        <v>1349</v>
      </c>
      <c r="D72" s="85" t="s">
        <v>1350</v>
      </c>
      <c r="E72" s="91" t="s">
        <v>1351</v>
      </c>
      <c r="F72" s="91" t="s">
        <v>1352</v>
      </c>
      <c r="G72" s="91" t="s">
        <v>1353</v>
      </c>
      <c r="H72" s="91" t="s">
        <v>1356</v>
      </c>
      <c r="I72" s="91" t="s">
        <v>1358</v>
      </c>
      <c r="J72" s="91" t="s">
        <v>1359</v>
      </c>
      <c r="K72" s="91" t="s">
        <v>1360</v>
      </c>
      <c r="L72" s="91" t="s">
        <v>1361</v>
      </c>
      <c r="M72" s="91" t="s">
        <v>1362</v>
      </c>
      <c r="N72" s="91" t="s">
        <v>1363</v>
      </c>
      <c r="O72" s="91" t="s">
        <v>1364</v>
      </c>
      <c r="P72" s="91" t="s">
        <v>1365</v>
      </c>
      <c r="Q72" s="91" t="s">
        <v>1366</v>
      </c>
      <c r="R72" s="91" t="s">
        <v>1367</v>
      </c>
      <c r="S72" s="91" t="s">
        <v>1368</v>
      </c>
      <c r="T72" s="91" t="s">
        <v>1369</v>
      </c>
      <c r="U72" s="91" t="s">
        <v>1370</v>
      </c>
      <c r="V72" s="91" t="s">
        <v>1371</v>
      </c>
      <c r="W72" s="4"/>
      <c r="X72" s="3"/>
      <c r="Y72" s="3"/>
      <c r="Z72" s="3"/>
      <c r="AA72" s="3"/>
      <c r="AB72" s="3"/>
    </row>
    <row r="73">
      <c r="A73" s="27"/>
      <c r="B73" s="79"/>
      <c r="C73" s="98" t="str">
        <f>HYPERLINK("https://drive.google.com/folderview?id=0B0x_dulH5-nEOW5GbWN2RHJ3WDg&amp;usp=sharing","ดาวน์โหลดเอกสารประกอบ")</f>
        <v>ดาวน์โหลดเอกสารประกอบ</v>
      </c>
      <c r="D73" s="98" t="str">
        <f>HYPERLINK("https://drive.google.com/folderview?id=0B0x_dulH5-nETy04OHVZYngxaWc&amp;usp=sharing","ดาวน์โหลดเอกสารประกอบ")</f>
        <v>ดาวน์โหลดเอกสารประกอบ</v>
      </c>
      <c r="E73" s="98" t="str">
        <f>HYPERLINK("https://drive.google.com/folderview?id=0B0x_dulH5-nEUHNwZ2NhNndydkE&amp;usp=sharing","ดาวน์โหลดเอกสารประกอบ")</f>
        <v>ดาวน์โหลดเอกสารประกอบ</v>
      </c>
      <c r="F73" s="98" t="str">
        <f>HYPERLINK("https://drive.google.com/folderview?id=0B0x_dulH5-nEZURUZ1VpaWRRb3M&amp;usp=sharing","ดาวน์โหลดเอกสารประกอบ")</f>
        <v>ดาวน์โหลดเอกสารประกอบ</v>
      </c>
      <c r="G73" s="152" t="s">
        <v>31</v>
      </c>
      <c r="H73" s="152" t="s">
        <v>31</v>
      </c>
      <c r="I73" s="152" t="s">
        <v>31</v>
      </c>
      <c r="J73" s="152" t="s">
        <v>31</v>
      </c>
      <c r="K73" s="152" t="s">
        <v>31</v>
      </c>
      <c r="L73" s="152" t="s">
        <v>31</v>
      </c>
      <c r="M73" s="98" t="str">
        <f>HYPERLINK("https://drive.google.com/folderview?id=0B0x_dulH5-nES3lreEFmMGxhajQ&amp;usp=sharing","ดาวน์โหลดเอกสารประกอบ")</f>
        <v>ดาวน์โหลดเอกสารประกอบ</v>
      </c>
      <c r="N73" s="98" t="str">
        <f>HYPERLINK("https://drive.google.com/folderview?id=0B0x_dulH5-nERzY3S2hoaHYxUTg&amp;usp=sharing","ดาวน์โหลดเอกสารประกอบ")</f>
        <v>ดาวน์โหลดเอกสารประกอบ</v>
      </c>
      <c r="O73" s="152" t="s">
        <v>31</v>
      </c>
      <c r="P73" s="152" t="s">
        <v>31</v>
      </c>
      <c r="Q73" s="152" t="s">
        <v>31</v>
      </c>
      <c r="R73" s="152" t="s">
        <v>31</v>
      </c>
      <c r="S73" s="152" t="s">
        <v>31</v>
      </c>
      <c r="T73" s="152" t="s">
        <v>31</v>
      </c>
      <c r="U73" s="98" t="str">
        <f>HYPERLINK("https://drive.google.com/folderview?id=0B0x_dulH5-nEcExwODhVWGlBWkU&amp;usp=sharing","ดาวน์โหลดเอกสารประกอบ")</f>
        <v>ดาวน์โหลดเอกสารประกอบ</v>
      </c>
      <c r="V73" s="98" t="str">
        <f>HYPERLINK("https://drive.google.com/folderview?id=0B0x_dulH5-nEbXhLc2dydmNabk0&amp;usp=sharing","ดาวน์โหลดเอกสารประกอบ")</f>
        <v>ดาวน์โหลดเอกสารประกอบ</v>
      </c>
      <c r="W73" s="4"/>
      <c r="X73" s="3"/>
      <c r="Y73" s="3"/>
      <c r="Z73" s="3"/>
      <c r="AA73" s="3"/>
      <c r="AB73" s="3"/>
    </row>
    <row r="74">
      <c r="A74" s="27"/>
      <c r="B74" s="5" t="s">
        <v>3</v>
      </c>
      <c r="C74" s="117" t="s">
        <v>4</v>
      </c>
      <c r="D74" s="12" t="s">
        <v>5</v>
      </c>
      <c r="E74" s="5" t="s">
        <v>6</v>
      </c>
      <c r="F74" s="5" t="s">
        <v>8</v>
      </c>
      <c r="G74" s="5" t="s">
        <v>9</v>
      </c>
      <c r="H74" s="5" t="s">
        <v>10</v>
      </c>
      <c r="I74" s="5" t="s">
        <v>11</v>
      </c>
      <c r="J74" s="5" t="s">
        <v>12</v>
      </c>
      <c r="K74" s="5" t="s">
        <v>13</v>
      </c>
      <c r="L74" s="5" t="s">
        <v>14</v>
      </c>
      <c r="M74" s="5" t="s">
        <v>15</v>
      </c>
      <c r="N74" s="5" t="s">
        <v>16</v>
      </c>
      <c r="O74" s="5" t="s">
        <v>17</v>
      </c>
      <c r="P74" s="5" t="s">
        <v>18</v>
      </c>
      <c r="Q74" s="5" t="s">
        <v>19</v>
      </c>
      <c r="R74" s="5" t="s">
        <v>20</v>
      </c>
      <c r="S74" s="5" t="s">
        <v>21</v>
      </c>
      <c r="T74" s="5" t="s">
        <v>22</v>
      </c>
      <c r="U74" s="5" t="s">
        <v>23</v>
      </c>
      <c r="V74" s="5" t="s">
        <v>24</v>
      </c>
      <c r="W74" s="16" t="s">
        <v>25</v>
      </c>
      <c r="X74" s="247"/>
      <c r="Y74" s="3"/>
      <c r="Z74" s="3"/>
      <c r="AA74" s="3"/>
      <c r="AB74" s="3"/>
    </row>
    <row r="75">
      <c r="A75" s="27"/>
      <c r="B75" s="13" t="s">
        <v>247</v>
      </c>
      <c r="C75" s="19" t="s">
        <v>32</v>
      </c>
      <c r="D75" s="19" t="s">
        <v>32</v>
      </c>
      <c r="E75" s="19" t="s">
        <v>32</v>
      </c>
      <c r="F75" s="19" t="s">
        <v>32</v>
      </c>
      <c r="G75" s="19" t="s">
        <v>34</v>
      </c>
      <c r="H75" s="19" t="s">
        <v>34</v>
      </c>
      <c r="I75" s="19" t="s">
        <v>34</v>
      </c>
      <c r="J75" s="21" t="s">
        <v>34</v>
      </c>
      <c r="K75" s="19" t="s">
        <v>34</v>
      </c>
      <c r="L75" s="19" t="s">
        <v>36</v>
      </c>
      <c r="M75" s="19" t="s">
        <v>194</v>
      </c>
      <c r="N75" s="19" t="s">
        <v>194</v>
      </c>
      <c r="O75" s="19" t="s">
        <v>194</v>
      </c>
      <c r="P75" s="19" t="s">
        <v>194</v>
      </c>
      <c r="Q75" s="19" t="s">
        <v>36</v>
      </c>
      <c r="R75" s="141" t="s">
        <v>1431</v>
      </c>
      <c r="S75" s="141" t="s">
        <v>1431</v>
      </c>
      <c r="T75" s="141" t="s">
        <v>1431</v>
      </c>
      <c r="U75" s="19" t="s">
        <v>36</v>
      </c>
      <c r="V75" s="19" t="s">
        <v>36</v>
      </c>
      <c r="W75" s="19" t="s">
        <v>32</v>
      </c>
      <c r="X75" s="194"/>
      <c r="Y75" s="3"/>
      <c r="Z75" s="3"/>
      <c r="AA75" s="3"/>
      <c r="AB75" s="3"/>
    </row>
    <row r="76" ht="75.0" customHeight="1">
      <c r="A76" s="27"/>
      <c r="B76" s="29"/>
      <c r="C76" s="34" t="str">
        <f>HYPERLINK("https://www.youtube.com/watch?v=RjaQawMqVm4&amp;feature=youtu.be","เสียงในภาษา ตอน 1")</f>
        <v>เสียงในภาษา ตอน 1</v>
      </c>
      <c r="D76" s="46" t="s">
        <v>1433</v>
      </c>
      <c r="E76" s="46" t="s">
        <v>1434</v>
      </c>
      <c r="F76" s="46" t="s">
        <v>1436</v>
      </c>
      <c r="G76" s="55" t="s">
        <v>1438</v>
      </c>
      <c r="H76" s="55" t="s">
        <v>1440</v>
      </c>
      <c r="I76" s="55" t="s">
        <v>1442</v>
      </c>
      <c r="J76" s="46" t="s">
        <v>1444</v>
      </c>
      <c r="K76" s="55" t="s">
        <v>1445</v>
      </c>
      <c r="L76" s="55" t="s">
        <v>963</v>
      </c>
      <c r="M76" s="55" t="s">
        <v>1446</v>
      </c>
      <c r="N76" s="55" t="s">
        <v>1447</v>
      </c>
      <c r="O76" s="55" t="s">
        <v>1448</v>
      </c>
      <c r="P76" s="55" t="s">
        <v>1449</v>
      </c>
      <c r="Q76" s="55" t="s">
        <v>1450</v>
      </c>
      <c r="R76" s="55" t="s">
        <v>1451</v>
      </c>
      <c r="S76" s="55" t="s">
        <v>1452</v>
      </c>
      <c r="T76" s="55" t="s">
        <v>1453</v>
      </c>
      <c r="U76" s="55" t="s">
        <v>1454</v>
      </c>
      <c r="V76" s="55" t="s">
        <v>1455</v>
      </c>
      <c r="W76" s="46" t="s">
        <v>1456</v>
      </c>
      <c r="X76" s="49"/>
      <c r="Y76" s="3"/>
      <c r="Z76" s="3"/>
      <c r="AA76" s="3"/>
      <c r="AB76" s="3"/>
    </row>
    <row r="77">
      <c r="A77" s="27"/>
      <c r="B77" s="29"/>
      <c r="C77" s="10" t="s">
        <v>1457</v>
      </c>
      <c r="D77" s="10" t="s">
        <v>1457</v>
      </c>
      <c r="E77" s="10" t="s">
        <v>1457</v>
      </c>
      <c r="F77" s="10" t="s">
        <v>1457</v>
      </c>
      <c r="G77" s="75" t="s">
        <v>1464</v>
      </c>
      <c r="H77" s="203" t="s">
        <v>1466</v>
      </c>
      <c r="I77" s="52" t="s">
        <v>1466</v>
      </c>
      <c r="J77" s="54" t="s">
        <v>1469</v>
      </c>
      <c r="K77" s="75" t="s">
        <v>1470</v>
      </c>
      <c r="L77" s="75" t="s">
        <v>1470</v>
      </c>
      <c r="M77" s="75" t="s">
        <v>1472</v>
      </c>
      <c r="N77" s="75" t="s">
        <v>1472</v>
      </c>
      <c r="O77" s="75" t="s">
        <v>1472</v>
      </c>
      <c r="P77" s="75" t="s">
        <v>1472</v>
      </c>
      <c r="Q77" s="75" t="s">
        <v>1470</v>
      </c>
      <c r="R77" s="75" t="s">
        <v>1476</v>
      </c>
      <c r="S77" s="75" t="s">
        <v>1476</v>
      </c>
      <c r="T77" s="75" t="s">
        <v>1476</v>
      </c>
      <c r="U77" s="75" t="s">
        <v>1470</v>
      </c>
      <c r="V77" s="75" t="s">
        <v>1470</v>
      </c>
      <c r="W77" s="10" t="s">
        <v>1457</v>
      </c>
      <c r="X77" s="3"/>
      <c r="Y77" s="3"/>
      <c r="Z77" s="3"/>
      <c r="AA77" s="3"/>
      <c r="AB77" s="3"/>
    </row>
    <row r="78">
      <c r="A78" s="27"/>
      <c r="B78" s="29"/>
      <c r="C78" s="10" t="s">
        <v>1479</v>
      </c>
      <c r="D78" s="10" t="s">
        <v>1479</v>
      </c>
      <c r="E78" s="10" t="s">
        <v>1479</v>
      </c>
      <c r="F78" s="10" t="s">
        <v>1479</v>
      </c>
      <c r="G78" s="75" t="s">
        <v>1481</v>
      </c>
      <c r="H78" s="203" t="s">
        <v>1253</v>
      </c>
      <c r="I78" s="52" t="s">
        <v>1253</v>
      </c>
      <c r="J78" s="54" t="s">
        <v>1253</v>
      </c>
      <c r="K78" s="75" t="s">
        <v>1484</v>
      </c>
      <c r="L78" s="75" t="s">
        <v>1484</v>
      </c>
      <c r="M78" s="75" t="s">
        <v>1339</v>
      </c>
      <c r="N78" s="75" t="s">
        <v>1339</v>
      </c>
      <c r="O78" s="75" t="s">
        <v>1339</v>
      </c>
      <c r="P78" s="75" t="s">
        <v>1339</v>
      </c>
      <c r="Q78" s="75" t="s">
        <v>1484</v>
      </c>
      <c r="R78" s="75" t="s">
        <v>1485</v>
      </c>
      <c r="S78" s="75" t="s">
        <v>1485</v>
      </c>
      <c r="T78" s="75" t="s">
        <v>1485</v>
      </c>
      <c r="U78" s="75" t="s">
        <v>1484</v>
      </c>
      <c r="V78" s="75" t="s">
        <v>1484</v>
      </c>
      <c r="W78" s="10" t="s">
        <v>1479</v>
      </c>
      <c r="X78" s="3"/>
      <c r="Y78" s="3"/>
      <c r="Z78" s="3"/>
      <c r="AA78" s="3"/>
      <c r="AB78" s="3"/>
    </row>
    <row r="79">
      <c r="A79" s="27"/>
      <c r="B79" s="29"/>
      <c r="C79" s="10" t="s">
        <v>861</v>
      </c>
      <c r="D79" s="10" t="s">
        <v>861</v>
      </c>
      <c r="E79" s="10" t="s">
        <v>861</v>
      </c>
      <c r="F79" s="10" t="s">
        <v>861</v>
      </c>
      <c r="G79" s="75" t="s">
        <v>1176</v>
      </c>
      <c r="H79" s="203" t="s">
        <v>1254</v>
      </c>
      <c r="I79" s="52" t="s">
        <v>1254</v>
      </c>
      <c r="J79" s="54" t="s">
        <v>1254</v>
      </c>
      <c r="K79" s="266" t="s">
        <v>1012</v>
      </c>
      <c r="L79" s="266" t="s">
        <v>1012</v>
      </c>
      <c r="M79" s="266" t="s">
        <v>1488</v>
      </c>
      <c r="N79" s="266" t="s">
        <v>1488</v>
      </c>
      <c r="O79" s="266" t="s">
        <v>1488</v>
      </c>
      <c r="P79" s="266" t="s">
        <v>1488</v>
      </c>
      <c r="Q79" s="266" t="s">
        <v>1012</v>
      </c>
      <c r="R79" s="266" t="s">
        <v>1347</v>
      </c>
      <c r="S79" s="266" t="s">
        <v>1347</v>
      </c>
      <c r="T79" s="266" t="s">
        <v>1347</v>
      </c>
      <c r="U79" s="266" t="s">
        <v>1012</v>
      </c>
      <c r="V79" s="266" t="s">
        <v>1012</v>
      </c>
      <c r="W79" s="10" t="s">
        <v>861</v>
      </c>
      <c r="X79" s="3"/>
      <c r="Y79" s="3"/>
      <c r="Z79" s="3"/>
      <c r="AA79" s="3"/>
      <c r="AB79" s="3"/>
    </row>
    <row r="80">
      <c r="A80" s="27"/>
      <c r="B80" s="29"/>
      <c r="C80" s="98" t="str">
        <f>HYPERLINK("https://www.youtube.com/watch?v=RjaQawMqVm4","https://www.youtube.com/watch?v=RjaQawMqVm4")</f>
        <v>https://www.youtube.com/watch?v=RjaQawMqVm4</v>
      </c>
      <c r="D80" s="91" t="s">
        <v>1492</v>
      </c>
      <c r="E80" s="91" t="s">
        <v>1493</v>
      </c>
      <c r="F80" s="91" t="s">
        <v>1494</v>
      </c>
      <c r="G80" s="91" t="s">
        <v>1496</v>
      </c>
      <c r="H80" s="91" t="s">
        <v>1497</v>
      </c>
      <c r="I80" s="91" t="s">
        <v>1499</v>
      </c>
      <c r="J80" s="91" t="s">
        <v>1500</v>
      </c>
      <c r="K80" s="91" t="s">
        <v>1502</v>
      </c>
      <c r="L80" s="91" t="s">
        <v>1503</v>
      </c>
      <c r="M80" s="91" t="s">
        <v>1505</v>
      </c>
      <c r="N80" s="91" t="s">
        <v>1507</v>
      </c>
      <c r="O80" s="91" t="s">
        <v>1509</v>
      </c>
      <c r="P80" s="271" t="s">
        <v>1511</v>
      </c>
      <c r="Q80" s="181" t="s">
        <v>1518</v>
      </c>
      <c r="R80" s="91" t="s">
        <v>1521</v>
      </c>
      <c r="S80" s="91" t="s">
        <v>1522</v>
      </c>
      <c r="T80" s="91" t="s">
        <v>1523</v>
      </c>
      <c r="U80" s="91" t="s">
        <v>1524</v>
      </c>
      <c r="V80" s="91" t="s">
        <v>1525</v>
      </c>
      <c r="W80" s="91" t="s">
        <v>1527</v>
      </c>
      <c r="X80" s="3"/>
      <c r="Y80" s="3"/>
      <c r="Z80" s="3"/>
      <c r="AA80" s="3"/>
      <c r="AB80" s="3"/>
    </row>
    <row r="81">
      <c r="A81" s="27"/>
      <c r="B81" s="79"/>
      <c r="C81" s="98" t="str">
        <f>HYPERLINK("https://drive.google.com/folderview?id=0B0x_dulH5-nEaUgyQ3RWSXFWNjg&amp;usp=sharing","ดาวน์โหลดเอกสารประกอบ")</f>
        <v>ดาวน์โหลดเอกสารประกอบ</v>
      </c>
      <c r="D81" s="98" t="str">
        <f>HYPERLINK("https://drive.google.com/folderview?id=0B0x_dulH5-nEVjR6X1RVLS1lejg&amp;usp=sharing","ดาวน์โหลดเอกสารประกอบ")</f>
        <v>ดาวน์โหลดเอกสารประกอบ</v>
      </c>
      <c r="E81" s="98" t="str">
        <f>HYPERLINK("https://drive.google.com/folderview?id=0B0x_dulH5-nEMHVacTl6NkMyT0U&amp;usp=sharing","ดาวน์โหลดเอกสารประกอบ")</f>
        <v>ดาวน์โหลดเอกสารประกอบ</v>
      </c>
      <c r="F81" s="98" t="str">
        <f>HYPERLINK("https://drive.google.com/folderview?id=0B0x_dulH5-nEYzVMN2tReUJraWs&amp;usp=sharing","ดาวน์โหลดเอกสารประกอบ")</f>
        <v>ดาวน์โหลดเอกสารประกอบ</v>
      </c>
      <c r="G81" s="152" t="s">
        <v>31</v>
      </c>
      <c r="H81" s="98" t="str">
        <f>HYPERLINK("https://drive.google.com/folderview?id=0B4mky1MMW8dYSkxWXzJ6b1dpdHc&amp;usp=sharing","ดาวน์โหลดเอกสารประกอบ")</f>
        <v>ดาวน์โหลดเอกสารประกอบ</v>
      </c>
      <c r="I81" s="98" t="str">
        <f>HYPERLINK("https://drive.google.com/folderview?id=0B4mky1MMW8dYUXhlRUUwWi1XMkE&amp;usp=sharing","ดาวน์โหลดเอกสารประกอบ")</f>
        <v>ดาวน์โหลดเอกสารประกอบ</v>
      </c>
      <c r="J81" s="98" t="str">
        <f>HYPERLINK("https://drive.google.com/folderview?id=0B4mky1MMW8dYcXhoOE4yWTkyZ3c&amp;usp=sharing","ดาวน์โหลดเอกสารประกอบ")</f>
        <v>ดาวน์โหลดเอกสารประกอบ</v>
      </c>
      <c r="K81" s="98" t="str">
        <f>HYPERLINK("https://drive.google.com/folderview?id=0B4mky1MMW8dYRjlHZHJXdmRfZkE&amp;usp=sharing","ดาวน์โหลดเอกสารประกอบ")</f>
        <v>ดาวน์โหลดเอกสารประกอบ</v>
      </c>
      <c r="L81" s="98" t="str">
        <f>HYPERLINK("https://drive.google.com/folderview?id=0B4mky1MMW8dYS3NnZGVZeGpmVkU&amp;usp=sharing","ดาวน์โหลดเอกสารประกอบ")</f>
        <v>ดาวน์โหลดเอกสารประกอบ</v>
      </c>
      <c r="M81" s="152" t="s">
        <v>31</v>
      </c>
      <c r="N81" s="152" t="s">
        <v>31</v>
      </c>
      <c r="O81" s="152" t="s">
        <v>31</v>
      </c>
      <c r="P81" s="94" t="s">
        <v>31</v>
      </c>
      <c r="Q81" s="83" t="str">
        <f>HYPERLINK("https://drive.google.com/folderview?id=0B4mky1MMW8dYUnJ2bndVOHotbms&amp;usp=sharing","ดาวน์โหลดเอกสารประกอบ")</f>
        <v>ดาวน์โหลดเอกสารประกอบ</v>
      </c>
      <c r="R81" s="152" t="s">
        <v>31</v>
      </c>
      <c r="S81" s="152" t="s">
        <v>31</v>
      </c>
      <c r="T81" s="98" t="str">
        <f>HYPERLINK("https://drive.google.com/folderview?id=0B0x_dulH5-nEQ3JRWjR3dFAxTnc&amp;usp=sharing","ดาวน์โหลดเอกสารประกอบ")</f>
        <v>ดาวน์โหลดเอกสารประกอบ</v>
      </c>
      <c r="U81" s="152" t="s">
        <v>31</v>
      </c>
      <c r="V81" s="152" t="s">
        <v>31</v>
      </c>
      <c r="W81" s="98" t="str">
        <f>HYPERLINK("https://drive.google.com/folderview?id=0B0x_dulH5-nERmZFc2pjRXpyZUU&amp;usp=sharing","ดาวน์โหลดเอกสารประกอบ")</f>
        <v>ดาวน์โหลดเอกสารประกอบ</v>
      </c>
      <c r="X81" s="273"/>
      <c r="Y81" s="3"/>
      <c r="Z81" s="3"/>
      <c r="AA81" s="3"/>
      <c r="AB81" s="3"/>
    </row>
    <row r="82">
      <c r="A82" s="27"/>
      <c r="B82" s="5" t="s">
        <v>3</v>
      </c>
      <c r="C82" s="5" t="s">
        <v>4</v>
      </c>
      <c r="D82" s="12" t="s">
        <v>5</v>
      </c>
      <c r="E82" s="5" t="s">
        <v>6</v>
      </c>
      <c r="F82" s="5" t="s">
        <v>8</v>
      </c>
      <c r="G82" s="5" t="s">
        <v>9</v>
      </c>
      <c r="H82" s="5" t="s">
        <v>10</v>
      </c>
      <c r="I82" s="5" t="s">
        <v>11</v>
      </c>
      <c r="J82" s="5" t="s">
        <v>12</v>
      </c>
      <c r="K82" s="5" t="s">
        <v>13</v>
      </c>
      <c r="L82" s="5" t="s">
        <v>14</v>
      </c>
      <c r="M82" s="5" t="s">
        <v>15</v>
      </c>
      <c r="N82" s="5" t="s">
        <v>16</v>
      </c>
      <c r="O82" s="5" t="s">
        <v>17</v>
      </c>
      <c r="P82" s="5" t="s">
        <v>18</v>
      </c>
      <c r="Q82" s="5" t="s">
        <v>19</v>
      </c>
      <c r="R82" s="5" t="s">
        <v>20</v>
      </c>
      <c r="S82" s="5" t="s">
        <v>21</v>
      </c>
      <c r="T82" s="5" t="s">
        <v>22</v>
      </c>
      <c r="U82" s="5" t="s">
        <v>23</v>
      </c>
      <c r="V82" s="5" t="s">
        <v>24</v>
      </c>
      <c r="W82" s="4"/>
      <c r="X82" s="3"/>
      <c r="Y82" s="3"/>
      <c r="Z82" s="3"/>
      <c r="AA82" s="3"/>
      <c r="AB82" s="3"/>
    </row>
    <row r="83">
      <c r="A83" s="27"/>
      <c r="B83" s="13" t="s">
        <v>259</v>
      </c>
      <c r="C83" s="19" t="s">
        <v>34</v>
      </c>
      <c r="D83" s="19" t="s">
        <v>34</v>
      </c>
      <c r="E83" s="19" t="s">
        <v>36</v>
      </c>
      <c r="F83" s="19" t="s">
        <v>193</v>
      </c>
      <c r="G83" s="19" t="s">
        <v>193</v>
      </c>
      <c r="H83" s="19" t="s">
        <v>193</v>
      </c>
      <c r="I83" s="19" t="s">
        <v>32</v>
      </c>
      <c r="J83" s="19" t="s">
        <v>32</v>
      </c>
      <c r="K83" s="19" t="s">
        <v>32</v>
      </c>
      <c r="L83" s="19" t="s">
        <v>32</v>
      </c>
      <c r="M83" s="19" t="s">
        <v>32</v>
      </c>
      <c r="N83" s="19" t="s">
        <v>194</v>
      </c>
      <c r="O83" s="19" t="s">
        <v>194</v>
      </c>
      <c r="P83" s="19" t="s">
        <v>194</v>
      </c>
      <c r="Q83" s="19" t="s">
        <v>194</v>
      </c>
      <c r="R83" s="19" t="s">
        <v>194</v>
      </c>
      <c r="S83" s="19" t="s">
        <v>194</v>
      </c>
      <c r="T83" s="19" t="s">
        <v>194</v>
      </c>
      <c r="U83" s="19" t="s">
        <v>194</v>
      </c>
      <c r="V83" s="19" t="s">
        <v>194</v>
      </c>
      <c r="W83" s="4"/>
      <c r="X83" s="3"/>
      <c r="Y83" s="3"/>
      <c r="Z83" s="3"/>
      <c r="AA83" s="3"/>
      <c r="AB83" s="3"/>
    </row>
    <row r="84" ht="60.0" customHeight="1">
      <c r="A84" s="27"/>
      <c r="B84" s="29"/>
      <c r="C84" s="34" t="str">
        <f>HYPERLINK("https://www.youtube.com/watch?v=2ODpPLb_CKY&amp;feature=youtu.be","การตีความ แปลความหมาย ขยายความจากเรื่องที่อ่าน ตอนที่ 1")</f>
        <v>การตีความ แปลความหมาย ขยายความจากเรื่องที่อ่าน ตอนที่ 1</v>
      </c>
      <c r="D84" s="34" t="str">
        <f>HYPERLINK("https://www.youtube.com/watch?v=fGF-RKYgt7g&amp;feature=youtu.be","การตีความ แปลความหมาย ขยายความจากเรื่องที่อ่าน ตอนที่ 2")</f>
        <v>การตีความ แปลความหมาย ขยายความจากเรื่องที่อ่าน ตอนที่ 2</v>
      </c>
      <c r="E84" s="274" t="s">
        <v>1573</v>
      </c>
      <c r="F84" s="274" t="s">
        <v>1574</v>
      </c>
      <c r="G84" s="42" t="s">
        <v>1575</v>
      </c>
      <c r="H84" s="46" t="s">
        <v>1576</v>
      </c>
      <c r="I84" s="55" t="s">
        <v>1577</v>
      </c>
      <c r="J84" s="55" t="s">
        <v>1578</v>
      </c>
      <c r="K84" s="55" t="s">
        <v>1579</v>
      </c>
      <c r="L84" s="46" t="s">
        <v>1580</v>
      </c>
      <c r="M84" s="46" t="s">
        <v>1581</v>
      </c>
      <c r="N84" s="55" t="s">
        <v>1582</v>
      </c>
      <c r="O84" s="55" t="s">
        <v>1583</v>
      </c>
      <c r="P84" s="275" t="s">
        <v>1584</v>
      </c>
      <c r="Q84" s="275" t="s">
        <v>1587</v>
      </c>
      <c r="R84" s="46" t="s">
        <v>1588</v>
      </c>
      <c r="S84" s="46" t="s">
        <v>1589</v>
      </c>
      <c r="T84" s="46" t="s">
        <v>1590</v>
      </c>
      <c r="U84" s="46" t="s">
        <v>1591</v>
      </c>
      <c r="V84" s="46" t="s">
        <v>1592</v>
      </c>
      <c r="W84" s="4"/>
      <c r="X84" s="3"/>
      <c r="Y84" s="3"/>
      <c r="Z84" s="3"/>
      <c r="AA84" s="3"/>
      <c r="AB84" s="3"/>
    </row>
    <row r="85">
      <c r="A85" s="27"/>
      <c r="B85" s="29"/>
      <c r="C85" s="10" t="s">
        <v>1333</v>
      </c>
      <c r="D85" s="10" t="s">
        <v>1333</v>
      </c>
      <c r="E85" s="10" t="s">
        <v>1333</v>
      </c>
      <c r="F85" s="10" t="s">
        <v>1333</v>
      </c>
      <c r="G85" s="75" t="s">
        <v>1593</v>
      </c>
      <c r="H85" s="75" t="s">
        <v>1593</v>
      </c>
      <c r="I85" s="75" t="s">
        <v>1594</v>
      </c>
      <c r="J85" s="75" t="s">
        <v>1594</v>
      </c>
      <c r="K85" s="75" t="s">
        <v>1594</v>
      </c>
      <c r="L85" s="10" t="s">
        <v>1333</v>
      </c>
      <c r="M85" s="10" t="s">
        <v>1333</v>
      </c>
      <c r="N85" s="75" t="s">
        <v>1595</v>
      </c>
      <c r="O85" s="75" t="s">
        <v>1595</v>
      </c>
      <c r="P85" s="75" t="s">
        <v>1596</v>
      </c>
      <c r="Q85" s="75" t="s">
        <v>1596</v>
      </c>
      <c r="R85" s="75" t="s">
        <v>1597</v>
      </c>
      <c r="S85" s="75" t="s">
        <v>1597</v>
      </c>
      <c r="T85" s="75" t="s">
        <v>1597</v>
      </c>
      <c r="U85" s="10" t="s">
        <v>1333</v>
      </c>
      <c r="V85" s="10" t="s">
        <v>1333</v>
      </c>
      <c r="W85" s="4"/>
      <c r="X85" s="3"/>
      <c r="Y85" s="3"/>
      <c r="Z85" s="3"/>
      <c r="AA85" s="3"/>
      <c r="AB85" s="3"/>
    </row>
    <row r="86">
      <c r="A86" s="27"/>
      <c r="B86" s="29"/>
      <c r="C86" s="10" t="s">
        <v>1342</v>
      </c>
      <c r="D86" s="10" t="s">
        <v>1342</v>
      </c>
      <c r="E86" s="10" t="s">
        <v>1342</v>
      </c>
      <c r="F86" s="10" t="s">
        <v>1342</v>
      </c>
      <c r="G86" s="75" t="s">
        <v>1598</v>
      </c>
      <c r="H86" s="75" t="s">
        <v>1598</v>
      </c>
      <c r="I86" s="75" t="s">
        <v>1598</v>
      </c>
      <c r="J86" s="75" t="s">
        <v>1598</v>
      </c>
      <c r="K86" s="75" t="s">
        <v>1598</v>
      </c>
      <c r="L86" s="10" t="s">
        <v>1342</v>
      </c>
      <c r="M86" s="10" t="s">
        <v>1342</v>
      </c>
      <c r="N86" s="75" t="s">
        <v>1599</v>
      </c>
      <c r="O86" s="75" t="s">
        <v>1599</v>
      </c>
      <c r="P86" s="75" t="s">
        <v>1599</v>
      </c>
      <c r="Q86" s="75" t="s">
        <v>1599</v>
      </c>
      <c r="R86" s="75" t="s">
        <v>1598</v>
      </c>
      <c r="S86" s="75" t="s">
        <v>1598</v>
      </c>
      <c r="T86" s="75" t="s">
        <v>1598</v>
      </c>
      <c r="U86" s="10" t="s">
        <v>1342</v>
      </c>
      <c r="V86" s="10" t="s">
        <v>1342</v>
      </c>
      <c r="W86" s="4"/>
      <c r="X86" s="3"/>
      <c r="Y86" s="3"/>
      <c r="Z86" s="3"/>
      <c r="AA86" s="3"/>
      <c r="AB86" s="3"/>
    </row>
    <row r="87">
      <c r="A87" s="27"/>
      <c r="B87" s="29"/>
      <c r="C87" s="10" t="s">
        <v>1346</v>
      </c>
      <c r="D87" s="10" t="s">
        <v>1346</v>
      </c>
      <c r="E87" s="10" t="s">
        <v>1346</v>
      </c>
      <c r="F87" s="10" t="s">
        <v>1346</v>
      </c>
      <c r="G87" s="75" t="s">
        <v>1608</v>
      </c>
      <c r="H87" s="75" t="s">
        <v>1608</v>
      </c>
      <c r="I87" s="75" t="s">
        <v>1608</v>
      </c>
      <c r="J87" s="75" t="s">
        <v>1608</v>
      </c>
      <c r="K87" s="75" t="s">
        <v>1608</v>
      </c>
      <c r="L87" s="10" t="s">
        <v>1346</v>
      </c>
      <c r="M87" s="10" t="s">
        <v>1346</v>
      </c>
      <c r="N87" s="75" t="s">
        <v>1347</v>
      </c>
      <c r="O87" s="75" t="s">
        <v>1347</v>
      </c>
      <c r="P87" s="75" t="s">
        <v>1347</v>
      </c>
      <c r="Q87" s="75" t="s">
        <v>1347</v>
      </c>
      <c r="R87" s="75" t="s">
        <v>1608</v>
      </c>
      <c r="S87" s="75" t="s">
        <v>1608</v>
      </c>
      <c r="T87" s="75" t="s">
        <v>1608</v>
      </c>
      <c r="U87" s="10" t="s">
        <v>1346</v>
      </c>
      <c r="V87" s="10" t="s">
        <v>1346</v>
      </c>
      <c r="W87" s="4"/>
      <c r="X87" s="3"/>
      <c r="Y87" s="3"/>
      <c r="Z87" s="3"/>
      <c r="AA87" s="3"/>
      <c r="AB87" s="3"/>
    </row>
    <row r="88">
      <c r="A88" s="27"/>
      <c r="B88" s="29"/>
      <c r="C88" s="98" t="str">
        <f>HYPERLINK("https://www.youtube.com/watch?v=2ODpPLb_CKY","https://www.youtube.com/watch?v=2ODpPLb_CKY")</f>
        <v>https://www.youtube.com/watch?v=2ODpPLb_CKY</v>
      </c>
      <c r="D88" s="98" t="str">
        <f>HYPERLINK("https://www.youtube.com/watch?v=fGF-RKYgt7g","https://www.youtube.com/watch?v=fGF-RKYgt7g")</f>
        <v>https://www.youtube.com/watch?v=fGF-RKYgt7g</v>
      </c>
      <c r="E88" s="91" t="s">
        <v>1618</v>
      </c>
      <c r="F88" s="91" t="s">
        <v>1619</v>
      </c>
      <c r="G88" s="91" t="s">
        <v>1620</v>
      </c>
      <c r="H88" s="91" t="s">
        <v>1621</v>
      </c>
      <c r="I88" s="91" t="s">
        <v>1622</v>
      </c>
      <c r="J88" s="91" t="s">
        <v>1623</v>
      </c>
      <c r="K88" s="91" t="s">
        <v>1624</v>
      </c>
      <c r="L88" s="91" t="s">
        <v>1625</v>
      </c>
      <c r="M88" s="91" t="s">
        <v>1626</v>
      </c>
      <c r="N88" s="91" t="s">
        <v>1629</v>
      </c>
      <c r="O88" s="91" t="s">
        <v>1638</v>
      </c>
      <c r="P88" s="271" t="s">
        <v>1640</v>
      </c>
      <c r="Q88" s="181" t="s">
        <v>1645</v>
      </c>
      <c r="R88" s="91" t="s">
        <v>1649</v>
      </c>
      <c r="S88" s="91" t="s">
        <v>1652</v>
      </c>
      <c r="T88" s="91" t="s">
        <v>1654</v>
      </c>
      <c r="U88" s="91" t="s">
        <v>1658</v>
      </c>
      <c r="V88" s="91" t="s">
        <v>1660</v>
      </c>
      <c r="W88" s="4"/>
      <c r="X88" s="3"/>
      <c r="Y88" s="3"/>
      <c r="Z88" s="3"/>
      <c r="AA88" s="3"/>
      <c r="AB88" s="3"/>
    </row>
    <row r="89">
      <c r="A89" s="27"/>
      <c r="B89" s="79"/>
      <c r="C89" s="152" t="s">
        <v>31</v>
      </c>
      <c r="D89" s="152" t="s">
        <v>31</v>
      </c>
      <c r="E89" s="152" t="s">
        <v>31</v>
      </c>
      <c r="F89" s="152" t="s">
        <v>31</v>
      </c>
      <c r="G89" s="98" t="str">
        <f>HYPERLINK("https://drive.google.com/folderview?id=0B0x_dulH5-nEfnhvUzlMMWpSajFuUUdfWXE3dFhpRVM0OFV6MlNUWXVGQXJVNEhNMDV3X0E&amp;usp=sharing","ดาวน์โหลดเอกสารประกอบ")</f>
        <v>ดาวน์โหลดเอกสารประกอบ</v>
      </c>
      <c r="H89" s="98" t="str">
        <f>HYPERLINK("https://drive.google.com/folderview?id=0B0x_dulH5-nEflU5VnZONHdoeC1aUHB1bzBDQno5aS12alhjNHZib2VDQVNqRkYyLU43M3M&amp;usp=sharing","ดาวน์โหลดเอกสารประกอบ")</f>
        <v>ดาวน์โหลดเอกสารประกอบ</v>
      </c>
      <c r="I89" s="98" t="str">
        <f>HYPERLINK("https://drive.google.com/folderview?id=0B0x_dulH5-nEfm1VUUt2TnJ3a1U0aDhOZWE0MVJTdUhna2dVaHBWNDRTWDN3c0tEd3JMd3c&amp;usp=sharing","ดาวน์โหลดเอกสารประกอบ")</f>
        <v>ดาวน์โหลดเอกสารประกอบ</v>
      </c>
      <c r="J89" s="279" t="s">
        <v>31</v>
      </c>
      <c r="K89" s="98" t="str">
        <f>HYPERLINK("https://drive.google.com/folderview?id=0B0x_dulH5-nEfmxZWkRGbWZZMnA3RkdKRk8zZ2gtYzVsbmRVSkhnTU1yUEFlNTlyTG1FSWM&amp;usp=sharing","ดาวน์โหลดเอกสารประกอบ")</f>
        <v>ดาวน์โหลดเอกสารประกอบ</v>
      </c>
      <c r="L89" s="152" t="s">
        <v>31</v>
      </c>
      <c r="M89" s="129" t="s">
        <v>31</v>
      </c>
      <c r="N89" s="98" t="str">
        <f>HYPERLINK("https://drive.google.com/folderview?id=0B4mky1MMW8dYTVZWRnlydk5vMjA&amp;usp=sharing ","ดาวน์โหลดเอกสารประกอบ")</f>
        <v>ดาวน์โหลดเอกสารประกอบ</v>
      </c>
      <c r="O89" s="98" t="str">
        <f>HYPERLINK("https://drive.google.com/folderview?id=0B4mky1MMW8dYeTEtaWJkWl9jUk0&amp;usp=sharing","ดาวน์โหลดเอกสารประกอบ")</f>
        <v>ดาวน์โหลดเอกสารประกอบ</v>
      </c>
      <c r="P89" s="152" t="s">
        <v>31</v>
      </c>
      <c r="Q89" s="152" t="s">
        <v>31</v>
      </c>
      <c r="R89" s="98" t="str">
        <f>HYPERLINK("https://drive.google.com/folderview?id=0B0x_dulH5-nEfjdTQWVsTktrcEVkWjhwbDdYcTFsOEV2Ml9VdjlWV2YxZTJhel82eG1KMm8&amp;usp=sharing","ดาวน์โหลดเอกสารประกอบ")</f>
        <v>ดาวน์โหลดเอกสารประกอบ</v>
      </c>
      <c r="S89" s="98" t="str">
        <f>HYPERLINK("https://drive.google.com/folderview?id=0B0x_dulH5-nEfkJTS2lEdERHakxkNnFpb1RnZ2tLZlVqTjcyVmc2T3Z1ZTlXcVJrUWtLdjg&amp;usp=sharing","ดาวน์โหลดเอกสารประกอบ")</f>
        <v>ดาวน์โหลดเอกสารประกอบ</v>
      </c>
      <c r="T89" s="98" t="str">
        <f>HYPERLINK("https://drive.google.com/folderview?id=0B0x_dulH5-nEflJQWlAtcW9ETy0tMmlndk8zMWstcFhtWXdMMTdIUDk3VGtfUnpQTXVfT1U&amp;usp=sharing","ดาวน์โหลดเอกสารประกอบ")</f>
        <v>ดาวน์โหลดเอกสารประกอบ</v>
      </c>
      <c r="U89" s="152" t="s">
        <v>31</v>
      </c>
      <c r="V89" s="152" t="s">
        <v>31</v>
      </c>
      <c r="W89" s="4"/>
      <c r="X89" s="3"/>
      <c r="Y89" s="3"/>
      <c r="Z89" s="3"/>
      <c r="AA89" s="3"/>
      <c r="AB89" s="3"/>
    </row>
    <row r="90">
      <c r="A90" s="27"/>
      <c r="B90" s="5" t="s">
        <v>3</v>
      </c>
      <c r="C90" s="5" t="s">
        <v>4</v>
      </c>
      <c r="D90" s="12" t="s">
        <v>5</v>
      </c>
      <c r="E90" s="5" t="s">
        <v>6</v>
      </c>
      <c r="F90" s="5" t="s">
        <v>8</v>
      </c>
      <c r="G90" s="5" t="s">
        <v>9</v>
      </c>
      <c r="H90" s="5" t="s">
        <v>10</v>
      </c>
      <c r="I90" s="5" t="s">
        <v>11</v>
      </c>
      <c r="J90" s="5" t="s">
        <v>12</v>
      </c>
      <c r="K90" s="5" t="s">
        <v>13</v>
      </c>
      <c r="L90" s="5" t="s">
        <v>14</v>
      </c>
      <c r="M90" s="5" t="s">
        <v>15</v>
      </c>
      <c r="N90" s="5" t="s">
        <v>16</v>
      </c>
      <c r="O90" s="5" t="s">
        <v>17</v>
      </c>
      <c r="P90" s="5" t="s">
        <v>18</v>
      </c>
      <c r="Q90" s="5" t="s">
        <v>19</v>
      </c>
      <c r="R90" s="5" t="s">
        <v>20</v>
      </c>
      <c r="S90" s="5" t="s">
        <v>21</v>
      </c>
      <c r="T90" s="5" t="s">
        <v>22</v>
      </c>
      <c r="U90" s="5" t="s">
        <v>23</v>
      </c>
      <c r="V90" s="5" t="s">
        <v>24</v>
      </c>
      <c r="W90" s="16" t="s">
        <v>25</v>
      </c>
      <c r="X90" s="16" t="s">
        <v>26</v>
      </c>
      <c r="Y90" s="16" t="s">
        <v>27</v>
      </c>
      <c r="Z90" s="16" t="s">
        <v>28</v>
      </c>
      <c r="AA90" s="247"/>
      <c r="AB90" s="204"/>
    </row>
    <row r="91">
      <c r="A91" s="27"/>
      <c r="B91" s="13" t="s">
        <v>269</v>
      </c>
      <c r="C91" s="19" t="s">
        <v>34</v>
      </c>
      <c r="D91" s="19" t="s">
        <v>34</v>
      </c>
      <c r="E91" s="19" t="s">
        <v>36</v>
      </c>
      <c r="F91" s="19" t="s">
        <v>36</v>
      </c>
      <c r="G91" s="19" t="s">
        <v>36</v>
      </c>
      <c r="H91" s="19" t="s">
        <v>36</v>
      </c>
      <c r="I91" s="19" t="s">
        <v>193</v>
      </c>
      <c r="J91" s="19" t="s">
        <v>193</v>
      </c>
      <c r="K91" s="19" t="s">
        <v>32</v>
      </c>
      <c r="L91" s="19" t="s">
        <v>32</v>
      </c>
      <c r="M91" s="19" t="s">
        <v>32</v>
      </c>
      <c r="N91" s="19" t="s">
        <v>32</v>
      </c>
      <c r="O91" s="19" t="s">
        <v>32</v>
      </c>
      <c r="P91" s="19" t="s">
        <v>194</v>
      </c>
      <c r="Q91" s="21" t="s">
        <v>194</v>
      </c>
      <c r="R91" s="21" t="s">
        <v>194</v>
      </c>
      <c r="S91" s="19" t="s">
        <v>194</v>
      </c>
      <c r="T91" s="19" t="s">
        <v>194</v>
      </c>
      <c r="U91" s="19"/>
      <c r="V91" s="19"/>
      <c r="W91" s="19"/>
      <c r="X91" s="19"/>
      <c r="Y91" s="19"/>
      <c r="Z91" s="19"/>
      <c r="AA91" s="194"/>
      <c r="AB91" s="194"/>
    </row>
    <row r="92" ht="30.0" customHeight="1">
      <c r="A92" s="27"/>
      <c r="B92" s="29"/>
      <c r="C92" s="34" t="str">
        <f>HYPERLINK("https://www.youtube.com/watch?v=5klMiBksVqk&amp;feature=youtu.be","การตีความจากเรื่องที่อ่าน")</f>
        <v>การตีความจากเรื่องที่อ่าน</v>
      </c>
      <c r="D92" s="143" t="s">
        <v>1701</v>
      </c>
      <c r="E92" s="46" t="s">
        <v>1702</v>
      </c>
      <c r="F92" s="143" t="s">
        <v>1703</v>
      </c>
      <c r="G92" s="46" t="s">
        <v>1704</v>
      </c>
      <c r="H92" s="55" t="s">
        <v>1705</v>
      </c>
      <c r="I92" s="55" t="s">
        <v>1706</v>
      </c>
      <c r="J92" s="46" t="s">
        <v>1707</v>
      </c>
      <c r="K92" s="46" t="s">
        <v>1708</v>
      </c>
      <c r="L92" s="46" t="s">
        <v>1709</v>
      </c>
      <c r="M92" s="46" t="s">
        <v>1710</v>
      </c>
      <c r="N92" s="46" t="s">
        <v>1711</v>
      </c>
      <c r="O92" s="46" t="s">
        <v>1712</v>
      </c>
      <c r="P92" s="46" t="s">
        <v>1713</v>
      </c>
      <c r="Q92" s="55" t="s">
        <v>1714</v>
      </c>
      <c r="R92" s="55" t="s">
        <v>1715</v>
      </c>
      <c r="S92" s="55" t="s">
        <v>1716</v>
      </c>
      <c r="T92" s="282" t="s">
        <v>1717</v>
      </c>
      <c r="U92" s="55" t="s">
        <v>1718</v>
      </c>
      <c r="V92" s="55" t="s">
        <v>1719</v>
      </c>
      <c r="W92" s="55" t="s">
        <v>1720</v>
      </c>
      <c r="X92" s="55" t="s">
        <v>1721</v>
      </c>
      <c r="Y92" s="55" t="s">
        <v>1722</v>
      </c>
      <c r="Z92" s="55" t="s">
        <v>1723</v>
      </c>
      <c r="AA92" s="57"/>
      <c r="AB92" s="57"/>
    </row>
    <row r="93">
      <c r="A93" s="27"/>
      <c r="B93" s="29"/>
      <c r="C93" s="75" t="s">
        <v>1724</v>
      </c>
      <c r="D93" s="75" t="s">
        <v>1725</v>
      </c>
      <c r="E93" s="75" t="s">
        <v>1726</v>
      </c>
      <c r="F93" s="75" t="s">
        <v>1727</v>
      </c>
      <c r="G93" s="10" t="s">
        <v>1728</v>
      </c>
      <c r="H93" s="10" t="s">
        <v>1728</v>
      </c>
      <c r="I93" s="10" t="s">
        <v>1728</v>
      </c>
      <c r="J93" s="10" t="s">
        <v>1728</v>
      </c>
      <c r="K93" s="75" t="s">
        <v>1729</v>
      </c>
      <c r="L93" s="75" t="s">
        <v>1730</v>
      </c>
      <c r="M93" s="75" t="s">
        <v>1729</v>
      </c>
      <c r="N93" s="75" t="s">
        <v>1731</v>
      </c>
      <c r="O93" s="75" t="s">
        <v>1732</v>
      </c>
      <c r="P93" s="203" t="s">
        <v>1733</v>
      </c>
      <c r="Q93" s="54" t="s">
        <v>1733</v>
      </c>
      <c r="R93" s="10" t="s">
        <v>1734</v>
      </c>
      <c r="S93" s="10" t="s">
        <v>1734</v>
      </c>
      <c r="T93" s="10" t="s">
        <v>1735</v>
      </c>
      <c r="U93" s="10" t="s">
        <v>1728</v>
      </c>
      <c r="V93" s="10" t="s">
        <v>1728</v>
      </c>
      <c r="W93" s="10" t="s">
        <v>1728</v>
      </c>
      <c r="X93" s="10" t="s">
        <v>1728</v>
      </c>
      <c r="Y93" s="10" t="s">
        <v>1728</v>
      </c>
      <c r="Z93" s="10" t="s">
        <v>1728</v>
      </c>
      <c r="AA93" s="3"/>
      <c r="AB93" s="3"/>
    </row>
    <row r="94">
      <c r="A94" s="27"/>
      <c r="B94" s="29"/>
      <c r="C94" s="10" t="s">
        <v>1105</v>
      </c>
      <c r="D94" s="75" t="s">
        <v>1736</v>
      </c>
      <c r="E94" s="75" t="s">
        <v>1736</v>
      </c>
      <c r="F94" s="75" t="s">
        <v>1736</v>
      </c>
      <c r="G94" s="10" t="s">
        <v>1737</v>
      </c>
      <c r="H94" s="10" t="s">
        <v>1737</v>
      </c>
      <c r="I94" s="10" t="s">
        <v>1737</v>
      </c>
      <c r="J94" s="10" t="s">
        <v>1737</v>
      </c>
      <c r="K94" s="75" t="s">
        <v>1738</v>
      </c>
      <c r="L94" s="75" t="s">
        <v>1738</v>
      </c>
      <c r="M94" s="75" t="s">
        <v>1738</v>
      </c>
      <c r="N94" s="75" t="s">
        <v>1738</v>
      </c>
      <c r="O94" s="31" t="s">
        <v>1739</v>
      </c>
      <c r="P94" s="203" t="s">
        <v>1192</v>
      </c>
      <c r="Q94" s="54" t="s">
        <v>1192</v>
      </c>
      <c r="R94" s="10" t="s">
        <v>1105</v>
      </c>
      <c r="S94" s="10" t="s">
        <v>1105</v>
      </c>
      <c r="T94" s="10" t="s">
        <v>1190</v>
      </c>
      <c r="U94" s="10" t="s">
        <v>1737</v>
      </c>
      <c r="V94" s="10" t="s">
        <v>1737</v>
      </c>
      <c r="W94" s="10" t="s">
        <v>1737</v>
      </c>
      <c r="X94" s="10" t="s">
        <v>1737</v>
      </c>
      <c r="Y94" s="10" t="s">
        <v>1737</v>
      </c>
      <c r="Z94" s="10" t="s">
        <v>1737</v>
      </c>
      <c r="AA94" s="3"/>
      <c r="AB94" s="3"/>
    </row>
    <row r="95">
      <c r="A95" s="27"/>
      <c r="B95" s="29"/>
      <c r="C95" s="10" t="s">
        <v>105</v>
      </c>
      <c r="D95" s="75" t="s">
        <v>1254</v>
      </c>
      <c r="E95" s="75" t="s">
        <v>1254</v>
      </c>
      <c r="F95" s="75" t="s">
        <v>1254</v>
      </c>
      <c r="G95" s="10" t="s">
        <v>105</v>
      </c>
      <c r="H95" s="10" t="s">
        <v>105</v>
      </c>
      <c r="I95" s="10" t="s">
        <v>105</v>
      </c>
      <c r="J95" s="10" t="s">
        <v>105</v>
      </c>
      <c r="K95" s="75" t="s">
        <v>1018</v>
      </c>
      <c r="L95" s="75" t="s">
        <v>1018</v>
      </c>
      <c r="M95" s="75" t="s">
        <v>1018</v>
      </c>
      <c r="N95" s="75" t="s">
        <v>1018</v>
      </c>
      <c r="O95" s="75" t="s">
        <v>1740</v>
      </c>
      <c r="P95" s="203" t="s">
        <v>1197</v>
      </c>
      <c r="Q95" s="54" t="s">
        <v>1197</v>
      </c>
      <c r="R95" s="10" t="s">
        <v>105</v>
      </c>
      <c r="S95" s="10" t="s">
        <v>105</v>
      </c>
      <c r="T95" s="10" t="s">
        <v>1196</v>
      </c>
      <c r="U95" s="10" t="s">
        <v>105</v>
      </c>
      <c r="V95" s="10" t="s">
        <v>105</v>
      </c>
      <c r="W95" s="10" t="s">
        <v>105</v>
      </c>
      <c r="X95" s="10" t="s">
        <v>105</v>
      </c>
      <c r="Y95" s="10" t="s">
        <v>105</v>
      </c>
      <c r="Z95" s="10" t="s">
        <v>105</v>
      </c>
      <c r="AA95" s="3"/>
      <c r="AB95" s="3"/>
    </row>
    <row r="96">
      <c r="A96" s="27"/>
      <c r="B96" s="29"/>
      <c r="C96" s="98" t="s">
        <v>1741</v>
      </c>
      <c r="D96" s="91" t="s">
        <v>1742</v>
      </c>
      <c r="E96" s="91" t="s">
        <v>1744</v>
      </c>
      <c r="F96" s="91" t="s">
        <v>1745</v>
      </c>
      <c r="G96" s="91" t="s">
        <v>1746</v>
      </c>
      <c r="H96" s="91" t="s">
        <v>1747</v>
      </c>
      <c r="I96" s="91" t="s">
        <v>1748</v>
      </c>
      <c r="J96" s="91" t="s">
        <v>1749</v>
      </c>
      <c r="K96" s="91" t="s">
        <v>1750</v>
      </c>
      <c r="L96" s="91" t="s">
        <v>1751</v>
      </c>
      <c r="M96" s="91" t="s">
        <v>1752</v>
      </c>
      <c r="N96" s="91" t="s">
        <v>1753</v>
      </c>
      <c r="O96" s="91" t="s">
        <v>1754</v>
      </c>
      <c r="P96" s="91" t="s">
        <v>1755</v>
      </c>
      <c r="Q96" s="87" t="s">
        <v>1756</v>
      </c>
      <c r="R96" s="283" t="s">
        <v>1757</v>
      </c>
      <c r="S96" s="85" t="s">
        <v>1757</v>
      </c>
      <c r="T96" s="91" t="s">
        <v>1758</v>
      </c>
      <c r="U96" s="91" t="s">
        <v>1759</v>
      </c>
      <c r="V96" s="91" t="s">
        <v>1760</v>
      </c>
      <c r="W96" s="211"/>
      <c r="X96" s="211"/>
      <c r="Y96" s="211"/>
      <c r="Z96" s="211"/>
      <c r="AA96" s="3"/>
      <c r="AB96" s="3"/>
    </row>
    <row r="97">
      <c r="A97" s="281"/>
      <c r="B97" s="79"/>
      <c r="C97" s="152" t="s">
        <v>31</v>
      </c>
      <c r="D97" s="98" t="str">
        <f>HYPERLINK("https://drive.google.com/folderview?id=0B4mky1MMW8dYZGI0ZEl1Tl84YnM&amp;usp=sharing","ดาวน์โหลดเอกสารประกอบ")</f>
        <v>ดาวน์โหลดเอกสารประกอบ</v>
      </c>
      <c r="E97" s="152" t="s">
        <v>31</v>
      </c>
      <c r="F97" s="98" t="str">
        <f>HYPERLINK("https://drive.google.com/folderview?id=0B4mky1MMW8dYVmFKYmRySDQwak0&amp;usp=sharing","ดาวน์โหลดเอกสารประกอบ")</f>
        <v>ดาวน์โหลดเอกสารประกอบ</v>
      </c>
      <c r="G97" s="98" t="str">
        <f>HYPERLINK("https://drive.google.com/folderview?id=0BydHLJgPtYsXflFpQ3dtbzNiTHhCcHBVd2JFeWR6MnVUQXRDMVNwMG15OWkzRWNnVDB0SU0&amp;usp=sharing","ดาวน์โหลดเอกสารประกอบ")</f>
        <v>ดาวน์โหลดเอกสารประกอบ</v>
      </c>
      <c r="H97" s="98" t="str">
        <f>HYPERLINK("https://drive.google.com/folderview?id=0BydHLJgPtYsXfmN1MnZITnVsZ3U0TmR4a2g2YW40MW4tWmxmVzM0ZVppWGtvdFBSMEJGQkU&amp;usp=sharing","ดาวน์โหลดเอกสารประกอบ")</f>
        <v>ดาวน์โหลดเอกสารประกอบ</v>
      </c>
      <c r="I97" s="98" t="str">
        <f>HYPERLINK("https://drive.google.com/folderview?id=0BydHLJgPtYsXflBsRGFnWUtHTU9KWkVJWjEtWGNPbFdNXzZnbXVsTWQzN0FYY19FTG9Ob0k&amp;usp=sharing","ดาวน์โหลดเอกสารประกอบ")</f>
        <v>ดาวน์โหลดเอกสารประกอบ</v>
      </c>
      <c r="J97" s="152" t="s">
        <v>31</v>
      </c>
      <c r="K97" s="152" t="s">
        <v>31</v>
      </c>
      <c r="L97" s="152" t="s">
        <v>31</v>
      </c>
      <c r="M97" s="152" t="s">
        <v>31</v>
      </c>
      <c r="N97" s="152" t="s">
        <v>31</v>
      </c>
      <c r="O97" s="152" t="s">
        <v>31</v>
      </c>
      <c r="P97" s="98" t="str">
        <f>HYPERLINK("https://drive.google.com/folderview?id=0B0x_dulH5-nEfjdTbWtjOXd0R0tPYzIxSERHRjJwbjh3YXpjOV9KYTlNSE9RRHJUNkJYZzg&amp;usp=sharing","ดาวน์โหลดเอกสารประกอบ")</f>
        <v>ดาวน์โหลดเอกสารประกอบ</v>
      </c>
      <c r="Q97" s="98" t="str">
        <f>HYPERLINK("https://drive.google.com/folderview?id=0B0x_dulH5-nEfm11OTB6dW5NbE1zRFYySHJjRkpKN3U5ZkYzVnNhYzAtcHJnTU1rWk5GVkk&amp;usp=sharing","ดาวน์โหลดเอกสารประกอบ")</f>
        <v>ดาวน์โหลดเอกสารประกอบ</v>
      </c>
      <c r="R97" s="98" t="str">
        <f>HYPERLINK("https://drive.google.com/folderview?id=0BxI2QWxfwdKvfkstTWJkUXkzZDlmejFCd0tnNHlCRDV4aEtsWEdqV2xEX1RsNm9DVm0xVEU&amp;usp=sharing","ดาวน์โหลดเอกสารประกอบ")</f>
        <v>ดาวน์โหลดเอกสารประกอบ</v>
      </c>
      <c r="S97" s="98" t="str">
        <f>HYPERLINK("https://drive.google.com/folderview?id=0BxI2QWxfwdKvfk93MVJvanFiakx4NEh1ZXFWQmVILVB5TXoyd0RFMXF1Mm44T2oxejhnYk0&amp;usp=sharing","ดาวน์โหลดเอกสารประกอบ")</f>
        <v>ดาวน์โหลดเอกสารประกอบ</v>
      </c>
      <c r="T97" s="83" t="str">
        <f>HYPERLINK("https://drive.google.com/folderview?id=0B0x_dulH5-nEblBma0tRaTNmRzg&amp;usp=sharing","ดาวน์โหลดเอกสารประกอบ")</f>
        <v>ดาวน์โหลดเอกสารประกอบ</v>
      </c>
      <c r="U97" s="152" t="s">
        <v>31</v>
      </c>
      <c r="V97" s="152" t="s">
        <v>31</v>
      </c>
      <c r="W97" s="94" t="s">
        <v>195</v>
      </c>
      <c r="X97" s="94" t="s">
        <v>195</v>
      </c>
      <c r="Y97" s="94" t="s">
        <v>195</v>
      </c>
      <c r="Z97" s="94" t="s">
        <v>195</v>
      </c>
      <c r="AA97" s="204"/>
      <c r="AB97" s="204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4"/>
      <c r="X98" s="3"/>
      <c r="Y98" s="204"/>
      <c r="Z98" s="204"/>
      <c r="AA98" s="204"/>
      <c r="AB98" s="204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4"/>
      <c r="X99" s="3"/>
      <c r="Y99" s="194"/>
      <c r="Z99" s="194"/>
      <c r="AA99" s="194"/>
      <c r="AB99" s="194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194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4"/>
      <c r="X100" s="3"/>
      <c r="Y100" s="57"/>
      <c r="Z100" s="57"/>
      <c r="AA100" s="57"/>
      <c r="AB100" s="57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49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4"/>
      <c r="X101" s="3"/>
      <c r="Y101" s="3"/>
      <c r="Z101" s="3"/>
      <c r="AA101" s="3"/>
      <c r="AB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204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4"/>
      <c r="X102" s="3"/>
      <c r="Y102" s="3"/>
      <c r="Z102" s="3"/>
      <c r="AA102" s="3"/>
      <c r="AB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204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4"/>
      <c r="X103" s="3"/>
      <c r="Y103" s="3"/>
      <c r="Z103" s="3"/>
      <c r="AA103" s="3"/>
      <c r="AB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204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4"/>
      <c r="X104" s="3"/>
      <c r="Y104" s="3"/>
      <c r="Z104" s="3"/>
      <c r="AA104" s="3"/>
      <c r="AB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4"/>
      <c r="X105" s="3"/>
      <c r="Y105" s="204"/>
      <c r="Z105" s="204"/>
      <c r="AA105" s="204"/>
      <c r="AB105" s="204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4"/>
      <c r="X106" s="3"/>
      <c r="Y106" s="3"/>
      <c r="Z106" s="3"/>
      <c r="AA106" s="3"/>
      <c r="AB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4"/>
      <c r="X107" s="3"/>
      <c r="Y107" s="3"/>
      <c r="Z107" s="3"/>
      <c r="AA107" s="3"/>
      <c r="AB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4"/>
      <c r="X108" s="3"/>
      <c r="Y108" s="3"/>
      <c r="Z108" s="3"/>
      <c r="AA108" s="3"/>
      <c r="AB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4"/>
      <c r="X109" s="3"/>
      <c r="Y109" s="3"/>
      <c r="Z109" s="3"/>
      <c r="AA109" s="3"/>
      <c r="AB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4"/>
      <c r="X110" s="3"/>
      <c r="Y110" s="3"/>
      <c r="Z110" s="3"/>
      <c r="AA110" s="3"/>
      <c r="AB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4"/>
      <c r="X111" s="3"/>
      <c r="Y111" s="3"/>
      <c r="Z111" s="3"/>
      <c r="AA111" s="3"/>
      <c r="AB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4"/>
      <c r="X112" s="3"/>
      <c r="Y112" s="3"/>
      <c r="Z112" s="3"/>
      <c r="AA112" s="3"/>
      <c r="AB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4"/>
      <c r="X113" s="3"/>
      <c r="Y113" s="3"/>
      <c r="Z113" s="3"/>
      <c r="AA113" s="3"/>
      <c r="AB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4"/>
      <c r="X114" s="3"/>
      <c r="Y114" s="3"/>
      <c r="Z114" s="3"/>
      <c r="AA114" s="3"/>
      <c r="AB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4"/>
      <c r="X115" s="3"/>
      <c r="Y115" s="3"/>
      <c r="Z115" s="3"/>
      <c r="AA115" s="3"/>
      <c r="AB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4"/>
      <c r="X116" s="3"/>
      <c r="Y116" s="3"/>
      <c r="Z116" s="3"/>
      <c r="AA116" s="3"/>
      <c r="AB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4"/>
      <c r="X117" s="3"/>
      <c r="Y117" s="3"/>
      <c r="Z117" s="3"/>
      <c r="AA117" s="3"/>
      <c r="AB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4"/>
      <c r="X118" s="3"/>
      <c r="Y118" s="3"/>
      <c r="Z118" s="3"/>
      <c r="AA118" s="3"/>
      <c r="AB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4"/>
      <c r="X119" s="3"/>
      <c r="Y119" s="3"/>
      <c r="Z119" s="3"/>
      <c r="AA119" s="3"/>
      <c r="AB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4"/>
      <c r="X120" s="3"/>
      <c r="Y120" s="3"/>
      <c r="Z120" s="3"/>
      <c r="AA120" s="3"/>
      <c r="AB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4"/>
      <c r="X121" s="3"/>
      <c r="Y121" s="3"/>
      <c r="Z121" s="3"/>
      <c r="AA121" s="3"/>
      <c r="AB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4"/>
      <c r="X122" s="3"/>
      <c r="Y122" s="3"/>
      <c r="Z122" s="3"/>
      <c r="AA122" s="3"/>
      <c r="AB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4"/>
      <c r="X123" s="3"/>
      <c r="Y123" s="3"/>
      <c r="Z123" s="3"/>
      <c r="AA123" s="3"/>
      <c r="AB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4"/>
      <c r="X124" s="3"/>
      <c r="Y124" s="3"/>
      <c r="Z124" s="3"/>
      <c r="AA124" s="3"/>
      <c r="AB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4"/>
      <c r="X125" s="3"/>
      <c r="Y125" s="3"/>
      <c r="Z125" s="3"/>
      <c r="AA125" s="3"/>
      <c r="AB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4"/>
      <c r="X126" s="3"/>
      <c r="Y126" s="3"/>
      <c r="Z126" s="3"/>
      <c r="AA126" s="3"/>
      <c r="AB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4"/>
      <c r="X127" s="3"/>
      <c r="Y127" s="3"/>
      <c r="Z127" s="3"/>
      <c r="AA127" s="3"/>
      <c r="AB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4"/>
      <c r="X128" s="3"/>
      <c r="Y128" s="3"/>
      <c r="Z128" s="3"/>
      <c r="AA128" s="3"/>
      <c r="AB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4"/>
      <c r="X129" s="3"/>
      <c r="Y129" s="3"/>
      <c r="Z129" s="3"/>
      <c r="AA129" s="3"/>
      <c r="AB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4"/>
      <c r="X130" s="3"/>
      <c r="Y130" s="3"/>
      <c r="Z130" s="3"/>
      <c r="AA130" s="3"/>
      <c r="AB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4"/>
      <c r="X131" s="3"/>
      <c r="Y131" s="3"/>
      <c r="Z131" s="3"/>
      <c r="AA131" s="3"/>
      <c r="AB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4"/>
      <c r="X132" s="3"/>
      <c r="Y132" s="3"/>
      <c r="Z132" s="3"/>
      <c r="AA132" s="3"/>
      <c r="AB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4"/>
      <c r="X133" s="3"/>
      <c r="Y133" s="3"/>
      <c r="Z133" s="3"/>
      <c r="AA133" s="3"/>
      <c r="AB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4"/>
      <c r="X134" s="3"/>
      <c r="Y134" s="3"/>
      <c r="Z134" s="3"/>
      <c r="AA134" s="3"/>
      <c r="AB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4"/>
      <c r="X135" s="3"/>
      <c r="Y135" s="3"/>
      <c r="Z135" s="3"/>
      <c r="AA135" s="3"/>
      <c r="AB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4"/>
      <c r="X136" s="3"/>
      <c r="Y136" s="3"/>
      <c r="Z136" s="3"/>
      <c r="AA136" s="3"/>
      <c r="AB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4"/>
      <c r="X137" s="3"/>
      <c r="Y137" s="3"/>
      <c r="Z137" s="3"/>
      <c r="AA137" s="3"/>
      <c r="AB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4"/>
      <c r="X138" s="3"/>
      <c r="Y138" s="3"/>
      <c r="Z138" s="3"/>
      <c r="AA138" s="3"/>
      <c r="AB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4"/>
      <c r="X139" s="3"/>
      <c r="Y139" s="3"/>
      <c r="Z139" s="3"/>
      <c r="AA139" s="3"/>
      <c r="AB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4"/>
      <c r="X140" s="3"/>
      <c r="Y140" s="3"/>
      <c r="Z140" s="3"/>
      <c r="AA140" s="3"/>
      <c r="AB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4"/>
      <c r="X141" s="3"/>
      <c r="Y141" s="3"/>
      <c r="Z141" s="3"/>
      <c r="AA141" s="3"/>
      <c r="AB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4"/>
      <c r="X142" s="3"/>
      <c r="Y142" s="3"/>
      <c r="Z142" s="3"/>
      <c r="AA142" s="3"/>
      <c r="AB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4"/>
      <c r="X143" s="3"/>
      <c r="Y143" s="3"/>
      <c r="Z143" s="3"/>
      <c r="AA143" s="3"/>
      <c r="AB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4"/>
      <c r="X144" s="3"/>
      <c r="Y144" s="3"/>
      <c r="Z144" s="3"/>
      <c r="AA144" s="3"/>
      <c r="AB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4"/>
      <c r="X145" s="3"/>
      <c r="Y145" s="3"/>
      <c r="Z145" s="3"/>
      <c r="AA145" s="3"/>
      <c r="AB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4"/>
      <c r="X146" s="3"/>
      <c r="Y146" s="3"/>
      <c r="Z146" s="3"/>
      <c r="AA146" s="3"/>
      <c r="AB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4"/>
      <c r="X147" s="3"/>
      <c r="Y147" s="3"/>
      <c r="Z147" s="3"/>
      <c r="AA147" s="3"/>
      <c r="AB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4"/>
      <c r="X148" s="3"/>
      <c r="Y148" s="3"/>
      <c r="Z148" s="3"/>
      <c r="AA148" s="3"/>
      <c r="AB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4"/>
      <c r="X149" s="3"/>
      <c r="Y149" s="3"/>
      <c r="Z149" s="3"/>
      <c r="AA149" s="3"/>
      <c r="AB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4"/>
      <c r="X150" s="3"/>
      <c r="Y150" s="3"/>
      <c r="Z150" s="3"/>
      <c r="AA150" s="3"/>
      <c r="AB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4"/>
      <c r="X151" s="3"/>
      <c r="Y151" s="3"/>
      <c r="Z151" s="3"/>
      <c r="AA151" s="3"/>
      <c r="AB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4"/>
      <c r="X152" s="3"/>
      <c r="Y152" s="3"/>
      <c r="Z152" s="3"/>
      <c r="AA152" s="3"/>
      <c r="AB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4"/>
      <c r="X153" s="3"/>
      <c r="Y153" s="3"/>
      <c r="Z153" s="3"/>
      <c r="AA153" s="3"/>
      <c r="AB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4"/>
      <c r="X154" s="3"/>
      <c r="Y154" s="3"/>
      <c r="Z154" s="3"/>
      <c r="AA154" s="3"/>
      <c r="AB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4"/>
      <c r="X155" s="3"/>
      <c r="Y155" s="3"/>
      <c r="Z155" s="3"/>
      <c r="AA155" s="3"/>
      <c r="AB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4"/>
      <c r="X156" s="3"/>
      <c r="Y156" s="3"/>
      <c r="Z156" s="3"/>
      <c r="AA156" s="3"/>
      <c r="AB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4"/>
      <c r="X157" s="3"/>
      <c r="Y157" s="3"/>
      <c r="Z157" s="3"/>
      <c r="AA157" s="3"/>
      <c r="AB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4"/>
      <c r="X158" s="3"/>
      <c r="Y158" s="3"/>
      <c r="Z158" s="3"/>
      <c r="AA158" s="3"/>
      <c r="AB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4"/>
      <c r="X159" s="3"/>
      <c r="Y159" s="3"/>
      <c r="Z159" s="3"/>
      <c r="AA159" s="3"/>
      <c r="AB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4"/>
      <c r="X160" s="3"/>
      <c r="Y160" s="3"/>
      <c r="Z160" s="3"/>
      <c r="AA160" s="3"/>
      <c r="AB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4"/>
      <c r="X161" s="3"/>
      <c r="Y161" s="3"/>
      <c r="Z161" s="3"/>
      <c r="AA161" s="3"/>
      <c r="AB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4"/>
      <c r="X162" s="3"/>
      <c r="Y162" s="3"/>
      <c r="Z162" s="3"/>
      <c r="AA162" s="3"/>
      <c r="AB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4"/>
      <c r="X163" s="3"/>
      <c r="Y163" s="3"/>
      <c r="Z163" s="3"/>
      <c r="AA163" s="3"/>
      <c r="AB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4"/>
      <c r="X164" s="3"/>
      <c r="Y164" s="3"/>
      <c r="Z164" s="3"/>
      <c r="AA164" s="3"/>
      <c r="AB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4"/>
      <c r="X165" s="3"/>
      <c r="Y165" s="3"/>
      <c r="Z165" s="3"/>
      <c r="AA165" s="3"/>
      <c r="AB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4"/>
      <c r="X166" s="3"/>
      <c r="Y166" s="3"/>
      <c r="Z166" s="3"/>
      <c r="AA166" s="3"/>
      <c r="AB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4"/>
      <c r="X167" s="3"/>
      <c r="Y167" s="3"/>
      <c r="Z167" s="3"/>
      <c r="AA167" s="3"/>
      <c r="AB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4"/>
      <c r="X168" s="3"/>
      <c r="Y168" s="3"/>
      <c r="Z168" s="3"/>
      <c r="AA168" s="3"/>
      <c r="AB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4"/>
      <c r="X169" s="3"/>
      <c r="Y169" s="3"/>
      <c r="Z169" s="3"/>
      <c r="AA169" s="3"/>
      <c r="AB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4"/>
      <c r="X170" s="3"/>
      <c r="Y170" s="3"/>
      <c r="Z170" s="3"/>
      <c r="AA170" s="3"/>
      <c r="AB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4"/>
      <c r="X171" s="3"/>
      <c r="Y171" s="3"/>
      <c r="Z171" s="3"/>
      <c r="AA171" s="3"/>
      <c r="AB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4"/>
      <c r="X172" s="3"/>
      <c r="Y172" s="3"/>
      <c r="Z172" s="3"/>
      <c r="AA172" s="3"/>
      <c r="AB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4"/>
      <c r="X173" s="3"/>
      <c r="Y173" s="3"/>
      <c r="Z173" s="3"/>
      <c r="AA173" s="3"/>
      <c r="AB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4"/>
      <c r="X174" s="3"/>
      <c r="Y174" s="3"/>
      <c r="Z174" s="3"/>
      <c r="AA174" s="3"/>
      <c r="AB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4"/>
      <c r="X175" s="3"/>
      <c r="Y175" s="3"/>
      <c r="Z175" s="3"/>
      <c r="AA175" s="3"/>
      <c r="AB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4"/>
      <c r="X176" s="3"/>
      <c r="Y176" s="3"/>
      <c r="Z176" s="3"/>
      <c r="AA176" s="3"/>
      <c r="AB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4"/>
      <c r="X177" s="3"/>
      <c r="Y177" s="3"/>
      <c r="Z177" s="3"/>
      <c r="AA177" s="3"/>
      <c r="AB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4"/>
      <c r="X178" s="3"/>
      <c r="Y178" s="3"/>
      <c r="Z178" s="3"/>
      <c r="AA178" s="3"/>
      <c r="AB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4"/>
      <c r="X179" s="3"/>
      <c r="Y179" s="3"/>
      <c r="Z179" s="3"/>
      <c r="AA179" s="3"/>
      <c r="AB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4"/>
      <c r="X180" s="3"/>
      <c r="Y180" s="3"/>
      <c r="Z180" s="3"/>
      <c r="AA180" s="3"/>
      <c r="AB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4"/>
      <c r="X181" s="3"/>
      <c r="Y181" s="3"/>
      <c r="Z181" s="3"/>
      <c r="AA181" s="3"/>
      <c r="AB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4"/>
      <c r="X182" s="3"/>
      <c r="Y182" s="3"/>
      <c r="Z182" s="3"/>
      <c r="AA182" s="3"/>
      <c r="AB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4"/>
      <c r="X183" s="3"/>
      <c r="Y183" s="3"/>
      <c r="Z183" s="3"/>
      <c r="AA183" s="3"/>
      <c r="AB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4"/>
      <c r="X184" s="3"/>
      <c r="Y184" s="3"/>
      <c r="Z184" s="3"/>
      <c r="AA184" s="3"/>
      <c r="AB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4"/>
      <c r="X185" s="3"/>
      <c r="Y185" s="3"/>
      <c r="Z185" s="3"/>
      <c r="AA185" s="3"/>
      <c r="AB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4"/>
      <c r="X186" s="3"/>
      <c r="Y186" s="3"/>
      <c r="Z186" s="3"/>
      <c r="AA186" s="3"/>
      <c r="AB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4"/>
      <c r="X187" s="3"/>
      <c r="Y187" s="3"/>
      <c r="Z187" s="3"/>
      <c r="AA187" s="3"/>
      <c r="AB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4"/>
      <c r="X188" s="3"/>
      <c r="Y188" s="3"/>
      <c r="Z188" s="3"/>
      <c r="AA188" s="3"/>
      <c r="AB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4"/>
      <c r="X189" s="3"/>
      <c r="Y189" s="3"/>
      <c r="Z189" s="3"/>
      <c r="AA189" s="3"/>
      <c r="AB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4"/>
      <c r="X190" s="3"/>
      <c r="Y190" s="3"/>
      <c r="Z190" s="3"/>
      <c r="AA190" s="3"/>
      <c r="AB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4"/>
      <c r="X191" s="3"/>
      <c r="Y191" s="3"/>
      <c r="Z191" s="3"/>
      <c r="AA191" s="3"/>
      <c r="AB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4"/>
      <c r="X192" s="3"/>
      <c r="Y192" s="3"/>
      <c r="Z192" s="3"/>
      <c r="AA192" s="3"/>
      <c r="AB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4"/>
      <c r="X193" s="3"/>
      <c r="Y193" s="3"/>
      <c r="Z193" s="3"/>
      <c r="AA193" s="3"/>
      <c r="AB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4"/>
      <c r="X194" s="3"/>
      <c r="Y194" s="3"/>
      <c r="Z194" s="3"/>
      <c r="AA194" s="3"/>
      <c r="AB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4"/>
      <c r="X195" s="3"/>
      <c r="Y195" s="3"/>
      <c r="Z195" s="3"/>
      <c r="AA195" s="3"/>
      <c r="AB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4"/>
      <c r="X196" s="3"/>
      <c r="Y196" s="3"/>
      <c r="Z196" s="3"/>
      <c r="AA196" s="3"/>
      <c r="AB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4"/>
      <c r="X197" s="3"/>
      <c r="Y197" s="3"/>
      <c r="Z197" s="3"/>
      <c r="AA197" s="3"/>
      <c r="AB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4"/>
      <c r="X198" s="3"/>
      <c r="Y198" s="3"/>
      <c r="Z198" s="3"/>
      <c r="AA198" s="3"/>
      <c r="AB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4"/>
      <c r="X199" s="3"/>
      <c r="Y199" s="3"/>
      <c r="Z199" s="3"/>
      <c r="AA199" s="3"/>
      <c r="AB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4"/>
      <c r="X200" s="3"/>
      <c r="Y200" s="3"/>
      <c r="Z200" s="3"/>
      <c r="AA200" s="3"/>
      <c r="AB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4"/>
      <c r="X201" s="3"/>
      <c r="Y201" s="3"/>
      <c r="Z201" s="3"/>
      <c r="AA201" s="3"/>
      <c r="AB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4"/>
      <c r="X202" s="3"/>
      <c r="Y202" s="3"/>
      <c r="Z202" s="3"/>
      <c r="AA202" s="3"/>
      <c r="AB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4"/>
      <c r="X203" s="3"/>
      <c r="Y203" s="3"/>
      <c r="Z203" s="3"/>
      <c r="AA203" s="3"/>
      <c r="AB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4"/>
      <c r="X204" s="3"/>
      <c r="Y204" s="3"/>
      <c r="Z204" s="3"/>
      <c r="AA204" s="3"/>
      <c r="AB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4"/>
      <c r="X205" s="3"/>
      <c r="Y205" s="3"/>
      <c r="Z205" s="3"/>
      <c r="AA205" s="3"/>
      <c r="AB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4"/>
      <c r="X206" s="3"/>
      <c r="Y206" s="3"/>
      <c r="Z206" s="3"/>
      <c r="AA206" s="3"/>
      <c r="AB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4"/>
      <c r="X207" s="3"/>
      <c r="Y207" s="3"/>
      <c r="Z207" s="3"/>
      <c r="AA207" s="3"/>
      <c r="AB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4"/>
      <c r="X208" s="3"/>
      <c r="Y208" s="3"/>
      <c r="Z208" s="3"/>
      <c r="AA208" s="3"/>
      <c r="AB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4"/>
      <c r="X209" s="3"/>
      <c r="Y209" s="3"/>
      <c r="Z209" s="3"/>
      <c r="AA209" s="3"/>
      <c r="AB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4"/>
      <c r="X210" s="3"/>
      <c r="Y210" s="3"/>
      <c r="Z210" s="3"/>
      <c r="AA210" s="3"/>
      <c r="AB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4"/>
      <c r="X211" s="3"/>
      <c r="Y211" s="3"/>
      <c r="Z211" s="3"/>
      <c r="AA211" s="3"/>
      <c r="AB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4"/>
      <c r="X212" s="3"/>
      <c r="Y212" s="3"/>
      <c r="Z212" s="3"/>
      <c r="AA212" s="3"/>
      <c r="AB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4"/>
      <c r="X213" s="3"/>
      <c r="Y213" s="3"/>
      <c r="Z213" s="3"/>
      <c r="AA213" s="3"/>
      <c r="AB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4"/>
      <c r="X214" s="3"/>
      <c r="Y214" s="3"/>
      <c r="Z214" s="3"/>
      <c r="AA214" s="3"/>
      <c r="AB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4"/>
      <c r="X215" s="3"/>
      <c r="Y215" s="3"/>
      <c r="Z215" s="3"/>
      <c r="AA215" s="3"/>
      <c r="AB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4"/>
      <c r="X216" s="3"/>
      <c r="Y216" s="3"/>
      <c r="Z216" s="3"/>
      <c r="AA216" s="3"/>
      <c r="AB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4"/>
      <c r="X217" s="3"/>
      <c r="Y217" s="3"/>
      <c r="Z217" s="3"/>
      <c r="AA217" s="3"/>
      <c r="AB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4"/>
      <c r="X218" s="3"/>
      <c r="Y218" s="3"/>
      <c r="Z218" s="3"/>
      <c r="AA218" s="3"/>
      <c r="AB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4"/>
      <c r="X219" s="3"/>
      <c r="Y219" s="3"/>
      <c r="Z219" s="3"/>
      <c r="AA219" s="3"/>
      <c r="AB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4"/>
      <c r="X220" s="3"/>
      <c r="Y220" s="3"/>
      <c r="Z220" s="3"/>
      <c r="AA220" s="3"/>
      <c r="AB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4"/>
      <c r="X221" s="3"/>
      <c r="Y221" s="3"/>
      <c r="Z221" s="3"/>
      <c r="AA221" s="3"/>
      <c r="AB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4"/>
      <c r="X222" s="3"/>
      <c r="Y222" s="3"/>
      <c r="Z222" s="3"/>
      <c r="AA222" s="3"/>
      <c r="AB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4"/>
      <c r="X223" s="3"/>
      <c r="Y223" s="3"/>
      <c r="Z223" s="3"/>
      <c r="AA223" s="3"/>
      <c r="AB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4"/>
      <c r="X224" s="3"/>
      <c r="Y224" s="3"/>
      <c r="Z224" s="3"/>
      <c r="AA224" s="3"/>
      <c r="AB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4"/>
      <c r="X225" s="3"/>
      <c r="Y225" s="3"/>
      <c r="Z225" s="3"/>
      <c r="AA225" s="3"/>
      <c r="AB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4"/>
      <c r="X226" s="3"/>
      <c r="Y226" s="3"/>
      <c r="Z226" s="3"/>
      <c r="AA226" s="3"/>
      <c r="AB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4"/>
      <c r="X227" s="3"/>
      <c r="Y227" s="3"/>
      <c r="Z227" s="3"/>
      <c r="AA227" s="3"/>
      <c r="AB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4"/>
      <c r="X228" s="3"/>
      <c r="Y228" s="3"/>
      <c r="Z228" s="3"/>
      <c r="AA228" s="3"/>
      <c r="AB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4"/>
      <c r="X229" s="3"/>
      <c r="Y229" s="3"/>
      <c r="Z229" s="3"/>
      <c r="AA229" s="3"/>
      <c r="AB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4"/>
      <c r="X230" s="3"/>
      <c r="Y230" s="3"/>
      <c r="Z230" s="3"/>
      <c r="AA230" s="3"/>
      <c r="AB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4"/>
      <c r="X231" s="3"/>
      <c r="Y231" s="3"/>
      <c r="Z231" s="3"/>
      <c r="AA231" s="3"/>
      <c r="AB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4"/>
      <c r="X232" s="3"/>
      <c r="Y232" s="3"/>
      <c r="Z232" s="3"/>
      <c r="AA232" s="3"/>
      <c r="AB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4"/>
      <c r="X233" s="3"/>
      <c r="Y233" s="3"/>
      <c r="Z233" s="3"/>
      <c r="AA233" s="3"/>
      <c r="AB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4"/>
      <c r="X234" s="3"/>
      <c r="Y234" s="3"/>
      <c r="Z234" s="3"/>
      <c r="AA234" s="3"/>
      <c r="AB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4"/>
      <c r="X235" s="3"/>
      <c r="Y235" s="3"/>
      <c r="Z235" s="3"/>
      <c r="AA235" s="3"/>
      <c r="AB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4"/>
      <c r="X236" s="3"/>
      <c r="Y236" s="3"/>
      <c r="Z236" s="3"/>
      <c r="AA236" s="3"/>
      <c r="AB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4"/>
      <c r="X237" s="3"/>
      <c r="Y237" s="3"/>
      <c r="Z237" s="3"/>
      <c r="AA237" s="3"/>
      <c r="AB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4"/>
      <c r="X238" s="3"/>
      <c r="Y238" s="3"/>
      <c r="Z238" s="3"/>
      <c r="AA238" s="3"/>
      <c r="AB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4"/>
      <c r="X239" s="3"/>
      <c r="Y239" s="3"/>
      <c r="Z239" s="3"/>
      <c r="AA239" s="3"/>
      <c r="AB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4"/>
      <c r="X240" s="3"/>
      <c r="Y240" s="3"/>
      <c r="Z240" s="3"/>
      <c r="AA240" s="3"/>
      <c r="AB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4"/>
      <c r="X241" s="3"/>
      <c r="Y241" s="3"/>
      <c r="Z241" s="3"/>
      <c r="AA241" s="3"/>
      <c r="AB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4"/>
      <c r="X242" s="3"/>
      <c r="Y242" s="3"/>
      <c r="Z242" s="3"/>
      <c r="AA242" s="3"/>
      <c r="AB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4"/>
      <c r="X243" s="3"/>
      <c r="Y243" s="3"/>
      <c r="Z243" s="3"/>
      <c r="AA243" s="3"/>
      <c r="AB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4"/>
      <c r="X244" s="3"/>
      <c r="Y244" s="3"/>
      <c r="Z244" s="3"/>
      <c r="AA244" s="3"/>
      <c r="AB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4"/>
      <c r="X245" s="3"/>
      <c r="Y245" s="3"/>
      <c r="Z245" s="3"/>
      <c r="AA245" s="3"/>
      <c r="AB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4"/>
      <c r="X246" s="3"/>
      <c r="Y246" s="3"/>
      <c r="Z246" s="3"/>
      <c r="AA246" s="3"/>
      <c r="AB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4"/>
      <c r="X247" s="3"/>
      <c r="Y247" s="3"/>
      <c r="Z247" s="3"/>
      <c r="AA247" s="3"/>
      <c r="AB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4"/>
      <c r="X248" s="3"/>
      <c r="Y248" s="3"/>
      <c r="Z248" s="3"/>
      <c r="AA248" s="3"/>
      <c r="AB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4"/>
      <c r="X249" s="3"/>
      <c r="Y249" s="3"/>
      <c r="Z249" s="3"/>
      <c r="AA249" s="3"/>
      <c r="AB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4"/>
      <c r="X250" s="3"/>
      <c r="Y250" s="3"/>
      <c r="Z250" s="3"/>
      <c r="AA250" s="3"/>
      <c r="AB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4"/>
      <c r="X251" s="3"/>
      <c r="Y251" s="3"/>
      <c r="Z251" s="3"/>
      <c r="AA251" s="3"/>
      <c r="AB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4"/>
      <c r="X252" s="3"/>
      <c r="Y252" s="3"/>
      <c r="Z252" s="3"/>
      <c r="AA252" s="3"/>
      <c r="AB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4"/>
      <c r="X253" s="3"/>
      <c r="Y253" s="3"/>
      <c r="Z253" s="3"/>
      <c r="AA253" s="3"/>
      <c r="AB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4"/>
      <c r="X254" s="3"/>
      <c r="Y254" s="3"/>
      <c r="Z254" s="3"/>
      <c r="AA254" s="3"/>
      <c r="AB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4"/>
      <c r="X255" s="3"/>
      <c r="Y255" s="3"/>
      <c r="Z255" s="3"/>
      <c r="AA255" s="3"/>
      <c r="AB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4"/>
      <c r="X256" s="3"/>
      <c r="Y256" s="3"/>
      <c r="Z256" s="3"/>
      <c r="AA256" s="3"/>
      <c r="AB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4"/>
      <c r="X257" s="3"/>
      <c r="Y257" s="3"/>
      <c r="Z257" s="3"/>
      <c r="AA257" s="3"/>
      <c r="AB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4"/>
      <c r="X258" s="3"/>
      <c r="Y258" s="3"/>
      <c r="Z258" s="3"/>
      <c r="AA258" s="3"/>
      <c r="AB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4"/>
      <c r="X259" s="3"/>
      <c r="Y259" s="3"/>
      <c r="Z259" s="3"/>
      <c r="AA259" s="3"/>
      <c r="AB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4"/>
      <c r="X260" s="3"/>
      <c r="Y260" s="3"/>
      <c r="Z260" s="3"/>
      <c r="AA260" s="3"/>
      <c r="AB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4"/>
      <c r="X261" s="3"/>
      <c r="Y261" s="3"/>
      <c r="Z261" s="3"/>
      <c r="AA261" s="3"/>
      <c r="AB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4"/>
      <c r="X262" s="3"/>
      <c r="Y262" s="3"/>
      <c r="Z262" s="3"/>
      <c r="AA262" s="3"/>
      <c r="AB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4"/>
      <c r="X263" s="3"/>
      <c r="Y263" s="3"/>
      <c r="Z263" s="3"/>
      <c r="AA263" s="3"/>
      <c r="AB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4"/>
      <c r="X264" s="3"/>
      <c r="Y264" s="3"/>
      <c r="Z264" s="3"/>
      <c r="AA264" s="3"/>
      <c r="AB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4"/>
      <c r="X265" s="3"/>
      <c r="Y265" s="3"/>
      <c r="Z265" s="3"/>
      <c r="AA265" s="3"/>
      <c r="AB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4"/>
      <c r="X266" s="3"/>
      <c r="Y266" s="3"/>
      <c r="Z266" s="3"/>
      <c r="AA266" s="3"/>
      <c r="AB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4"/>
      <c r="X267" s="3"/>
      <c r="Y267" s="3"/>
      <c r="Z267" s="3"/>
      <c r="AA267" s="3"/>
      <c r="AB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4"/>
      <c r="X268" s="3"/>
      <c r="Y268" s="3"/>
      <c r="Z268" s="3"/>
      <c r="AA268" s="3"/>
      <c r="AB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4"/>
      <c r="X269" s="3"/>
      <c r="Y269" s="3"/>
      <c r="Z269" s="3"/>
      <c r="AA269" s="3"/>
      <c r="AB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4"/>
      <c r="X270" s="3"/>
      <c r="Y270" s="3"/>
      <c r="Z270" s="3"/>
      <c r="AA270" s="3"/>
      <c r="AB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4"/>
      <c r="X271" s="3"/>
      <c r="Y271" s="3"/>
      <c r="Z271" s="3"/>
      <c r="AA271" s="3"/>
      <c r="AB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4"/>
      <c r="X272" s="3"/>
      <c r="Y272" s="3"/>
      <c r="Z272" s="3"/>
      <c r="AA272" s="3"/>
      <c r="AB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4"/>
      <c r="X273" s="3"/>
      <c r="Y273" s="3"/>
      <c r="Z273" s="3"/>
      <c r="AA273" s="3"/>
      <c r="AB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4"/>
      <c r="X274" s="3"/>
      <c r="Y274" s="3"/>
      <c r="Z274" s="3"/>
      <c r="AA274" s="3"/>
      <c r="AB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4"/>
      <c r="X275" s="3"/>
      <c r="Y275" s="3"/>
      <c r="Z275" s="3"/>
      <c r="AA275" s="3"/>
      <c r="AB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4"/>
      <c r="X276" s="3"/>
      <c r="Y276" s="3"/>
      <c r="Z276" s="3"/>
      <c r="AA276" s="3"/>
      <c r="AB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4"/>
      <c r="X277" s="3"/>
      <c r="Y277" s="3"/>
      <c r="Z277" s="3"/>
      <c r="AA277" s="3"/>
      <c r="AB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4"/>
      <c r="X278" s="3"/>
      <c r="Y278" s="3"/>
      <c r="Z278" s="3"/>
      <c r="AA278" s="3"/>
      <c r="AB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4"/>
      <c r="X279" s="3"/>
      <c r="Y279" s="3"/>
      <c r="Z279" s="3"/>
      <c r="AA279" s="3"/>
      <c r="AB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4"/>
      <c r="X280" s="3"/>
      <c r="Y280" s="3"/>
      <c r="Z280" s="3"/>
      <c r="AA280" s="3"/>
      <c r="AB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4"/>
      <c r="X281" s="3"/>
      <c r="Y281" s="3"/>
      <c r="Z281" s="3"/>
      <c r="AA281" s="3"/>
      <c r="AB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4"/>
      <c r="X282" s="3"/>
      <c r="Y282" s="3"/>
      <c r="Z282" s="3"/>
      <c r="AA282" s="3"/>
      <c r="AB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4"/>
      <c r="X283" s="3"/>
      <c r="Y283" s="3"/>
      <c r="Z283" s="3"/>
      <c r="AA283" s="3"/>
      <c r="AB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4"/>
      <c r="X284" s="3"/>
      <c r="Y284" s="3"/>
      <c r="Z284" s="3"/>
      <c r="AA284" s="3"/>
      <c r="AB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4"/>
      <c r="X285" s="3"/>
      <c r="Y285" s="3"/>
      <c r="Z285" s="3"/>
      <c r="AA285" s="3"/>
      <c r="AB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4"/>
      <c r="X286" s="3"/>
      <c r="Y286" s="3"/>
      <c r="Z286" s="3"/>
      <c r="AA286" s="3"/>
      <c r="AB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4"/>
      <c r="X287" s="3"/>
      <c r="Y287" s="3"/>
      <c r="Z287" s="3"/>
      <c r="AA287" s="3"/>
      <c r="AB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4"/>
      <c r="X288" s="3"/>
      <c r="Y288" s="3"/>
      <c r="Z288" s="3"/>
      <c r="AA288" s="3"/>
      <c r="AB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4"/>
      <c r="X289" s="3"/>
      <c r="Y289" s="3"/>
      <c r="Z289" s="3"/>
      <c r="AA289" s="3"/>
      <c r="AB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4"/>
      <c r="X290" s="3"/>
      <c r="Y290" s="3"/>
      <c r="Z290" s="3"/>
      <c r="AA290" s="3"/>
      <c r="AB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4"/>
      <c r="X291" s="3"/>
      <c r="Y291" s="3"/>
      <c r="Z291" s="3"/>
      <c r="AA291" s="3"/>
      <c r="AB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4"/>
      <c r="X292" s="3"/>
      <c r="Y292" s="3"/>
      <c r="Z292" s="3"/>
      <c r="AA292" s="3"/>
      <c r="AB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4"/>
      <c r="X293" s="3"/>
      <c r="Y293" s="3"/>
      <c r="Z293" s="3"/>
      <c r="AA293" s="3"/>
      <c r="AB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4"/>
      <c r="X294" s="3"/>
      <c r="Y294" s="3"/>
      <c r="Z294" s="3"/>
      <c r="AA294" s="3"/>
      <c r="AB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4"/>
      <c r="X295" s="3"/>
      <c r="Y295" s="3"/>
      <c r="Z295" s="3"/>
      <c r="AA295" s="3"/>
      <c r="AB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4"/>
      <c r="X296" s="3"/>
      <c r="Y296" s="3"/>
      <c r="Z296" s="3"/>
      <c r="AA296" s="3"/>
      <c r="AB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4"/>
      <c r="X297" s="3"/>
      <c r="Y297" s="3"/>
      <c r="Z297" s="3"/>
      <c r="AA297" s="3"/>
      <c r="AB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4"/>
      <c r="X298" s="3"/>
      <c r="Y298" s="3"/>
      <c r="Z298" s="3"/>
      <c r="AA298" s="3"/>
      <c r="AB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4"/>
      <c r="X299" s="3"/>
      <c r="Y299" s="3"/>
      <c r="Z299" s="3"/>
      <c r="AA299" s="3"/>
      <c r="AB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4"/>
      <c r="X300" s="3"/>
      <c r="Y300" s="3"/>
      <c r="Z300" s="3"/>
      <c r="AA300" s="3"/>
      <c r="AB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4"/>
      <c r="X301" s="3"/>
      <c r="Y301" s="3"/>
      <c r="Z301" s="3"/>
      <c r="AA301" s="3"/>
      <c r="AB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4"/>
      <c r="X302" s="3"/>
      <c r="Y302" s="3"/>
      <c r="Z302" s="3"/>
      <c r="AA302" s="3"/>
      <c r="AB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4"/>
      <c r="X303" s="3"/>
      <c r="Y303" s="3"/>
      <c r="Z303" s="3"/>
      <c r="AA303" s="3"/>
      <c r="AB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4"/>
      <c r="X304" s="3"/>
      <c r="Y304" s="3"/>
      <c r="Z304" s="3"/>
      <c r="AA304" s="3"/>
      <c r="AB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4"/>
      <c r="X305" s="3"/>
      <c r="Y305" s="3"/>
      <c r="Z305" s="3"/>
      <c r="AA305" s="3"/>
      <c r="AB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4"/>
      <c r="X306" s="3"/>
      <c r="Y306" s="3"/>
      <c r="Z306" s="3"/>
      <c r="AA306" s="3"/>
      <c r="AB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4"/>
      <c r="X307" s="3"/>
      <c r="Y307" s="3"/>
      <c r="Z307" s="3"/>
      <c r="AA307" s="3"/>
      <c r="AB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4"/>
      <c r="X308" s="3"/>
      <c r="Y308" s="3"/>
      <c r="Z308" s="3"/>
      <c r="AA308" s="3"/>
      <c r="AB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4"/>
      <c r="X309" s="3"/>
      <c r="Y309" s="3"/>
      <c r="Z309" s="3"/>
      <c r="AA309" s="3"/>
      <c r="AB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4"/>
      <c r="X310" s="3"/>
      <c r="Y310" s="3"/>
      <c r="Z310" s="3"/>
      <c r="AA310" s="3"/>
      <c r="AB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4"/>
      <c r="X311" s="3"/>
      <c r="Y311" s="3"/>
      <c r="Z311" s="3"/>
      <c r="AA311" s="3"/>
      <c r="AB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4"/>
      <c r="X312" s="3"/>
      <c r="Y312" s="3"/>
      <c r="Z312" s="3"/>
      <c r="AA312" s="3"/>
      <c r="AB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4"/>
      <c r="X313" s="3"/>
      <c r="Y313" s="3"/>
      <c r="Z313" s="3"/>
      <c r="AA313" s="3"/>
      <c r="AB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4"/>
      <c r="X314" s="3"/>
      <c r="Y314" s="3"/>
      <c r="Z314" s="3"/>
      <c r="AA314" s="3"/>
      <c r="AB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4"/>
      <c r="X315" s="3"/>
      <c r="Y315" s="3"/>
      <c r="Z315" s="3"/>
      <c r="AA315" s="3"/>
      <c r="AB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4"/>
      <c r="X316" s="3"/>
      <c r="Y316" s="3"/>
      <c r="Z316" s="3"/>
      <c r="AA316" s="3"/>
      <c r="AB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4"/>
      <c r="X317" s="3"/>
      <c r="Y317" s="3"/>
      <c r="Z317" s="3"/>
      <c r="AA317" s="3"/>
      <c r="AB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4"/>
      <c r="X318" s="3"/>
      <c r="Y318" s="3"/>
      <c r="Z318" s="3"/>
      <c r="AA318" s="3"/>
      <c r="AB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4"/>
      <c r="X319" s="3"/>
      <c r="Y319" s="3"/>
      <c r="Z319" s="3"/>
      <c r="AA319" s="3"/>
      <c r="AB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4"/>
      <c r="X320" s="3"/>
      <c r="Y320" s="3"/>
      <c r="Z320" s="3"/>
      <c r="AA320" s="3"/>
      <c r="AB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4"/>
      <c r="X321" s="3"/>
      <c r="Y321" s="3"/>
      <c r="Z321" s="3"/>
      <c r="AA321" s="3"/>
      <c r="AB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4"/>
      <c r="X322" s="3"/>
      <c r="Y322" s="3"/>
      <c r="Z322" s="3"/>
      <c r="AA322" s="3"/>
      <c r="AB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4"/>
      <c r="X323" s="3"/>
      <c r="Y323" s="3"/>
      <c r="Z323" s="3"/>
      <c r="AA323" s="3"/>
      <c r="AB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4"/>
      <c r="X324" s="3"/>
      <c r="Y324" s="3"/>
      <c r="Z324" s="3"/>
      <c r="AA324" s="3"/>
      <c r="AB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4"/>
      <c r="X325" s="3"/>
      <c r="Y325" s="3"/>
      <c r="Z325" s="3"/>
      <c r="AA325" s="3"/>
      <c r="AB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4"/>
      <c r="X326" s="3"/>
      <c r="Y326" s="3"/>
      <c r="Z326" s="3"/>
      <c r="AA326" s="3"/>
      <c r="AB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4"/>
      <c r="X327" s="3"/>
      <c r="Y327" s="3"/>
      <c r="Z327" s="3"/>
      <c r="AA327" s="3"/>
      <c r="AB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4"/>
      <c r="X328" s="3"/>
      <c r="Y328" s="3"/>
      <c r="Z328" s="3"/>
      <c r="AA328" s="3"/>
      <c r="AB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4"/>
      <c r="X329" s="3"/>
      <c r="Y329" s="3"/>
      <c r="Z329" s="3"/>
      <c r="AA329" s="3"/>
      <c r="AB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4"/>
      <c r="X330" s="3"/>
      <c r="Y330" s="3"/>
      <c r="Z330" s="3"/>
      <c r="AA330" s="3"/>
      <c r="AB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4"/>
      <c r="X331" s="3"/>
      <c r="Y331" s="3"/>
      <c r="Z331" s="3"/>
      <c r="AA331" s="3"/>
      <c r="AB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4"/>
      <c r="X332" s="3"/>
      <c r="Y332" s="3"/>
      <c r="Z332" s="3"/>
      <c r="AA332" s="3"/>
      <c r="AB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4"/>
      <c r="X333" s="3"/>
      <c r="Y333" s="3"/>
      <c r="Z333" s="3"/>
      <c r="AA333" s="3"/>
      <c r="AB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4"/>
      <c r="X334" s="3"/>
      <c r="Y334" s="3"/>
      <c r="Z334" s="3"/>
      <c r="AA334" s="3"/>
      <c r="AB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4"/>
      <c r="X335" s="3"/>
      <c r="Y335" s="3"/>
      <c r="Z335" s="3"/>
      <c r="AA335" s="3"/>
      <c r="AB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4"/>
      <c r="X336" s="3"/>
      <c r="Y336" s="3"/>
      <c r="Z336" s="3"/>
      <c r="AA336" s="3"/>
      <c r="AB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4"/>
      <c r="X337" s="3"/>
      <c r="Y337" s="3"/>
      <c r="Z337" s="3"/>
      <c r="AA337" s="3"/>
      <c r="AB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4"/>
      <c r="X338" s="3"/>
      <c r="Y338" s="3"/>
      <c r="Z338" s="3"/>
      <c r="AA338" s="3"/>
      <c r="AB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4"/>
      <c r="X339" s="3"/>
      <c r="Y339" s="3"/>
      <c r="Z339" s="3"/>
      <c r="AA339" s="3"/>
      <c r="AB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4"/>
      <c r="X340" s="3"/>
      <c r="Y340" s="3"/>
      <c r="Z340" s="3"/>
      <c r="AA340" s="3"/>
      <c r="AB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4"/>
      <c r="X341" s="3"/>
      <c r="Y341" s="3"/>
      <c r="Z341" s="3"/>
      <c r="AA341" s="3"/>
      <c r="AB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4"/>
      <c r="X342" s="3"/>
      <c r="Y342" s="3"/>
      <c r="Z342" s="3"/>
      <c r="AA342" s="3"/>
      <c r="AB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4"/>
      <c r="X343" s="3"/>
      <c r="Y343" s="3"/>
      <c r="Z343" s="3"/>
      <c r="AA343" s="3"/>
      <c r="AB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4"/>
      <c r="X344" s="3"/>
      <c r="Y344" s="3"/>
      <c r="Z344" s="3"/>
      <c r="AA344" s="3"/>
      <c r="AB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4"/>
      <c r="X345" s="3"/>
      <c r="Y345" s="3"/>
      <c r="Z345" s="3"/>
      <c r="AA345" s="3"/>
      <c r="AB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4"/>
      <c r="X346" s="3"/>
      <c r="Y346" s="3"/>
      <c r="Z346" s="3"/>
      <c r="AA346" s="3"/>
      <c r="AB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4"/>
      <c r="X347" s="3"/>
      <c r="Y347" s="3"/>
      <c r="Z347" s="3"/>
      <c r="AA347" s="3"/>
      <c r="AB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4"/>
      <c r="X348" s="3"/>
      <c r="Y348" s="3"/>
      <c r="Z348" s="3"/>
      <c r="AA348" s="3"/>
      <c r="AB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4"/>
      <c r="X349" s="3"/>
      <c r="Y349" s="3"/>
      <c r="Z349" s="3"/>
      <c r="AA349" s="3"/>
      <c r="AB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4"/>
      <c r="X350" s="3"/>
      <c r="Y350" s="3"/>
      <c r="Z350" s="3"/>
      <c r="AA350" s="3"/>
      <c r="AB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4"/>
      <c r="X351" s="3"/>
      <c r="Y351" s="3"/>
      <c r="Z351" s="3"/>
      <c r="AA351" s="3"/>
      <c r="AB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4"/>
      <c r="X352" s="3"/>
      <c r="Y352" s="3"/>
      <c r="Z352" s="3"/>
      <c r="AA352" s="3"/>
      <c r="AB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4"/>
      <c r="X353" s="3"/>
      <c r="Y353" s="3"/>
      <c r="Z353" s="3"/>
      <c r="AA353" s="3"/>
      <c r="AB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4"/>
      <c r="X354" s="3"/>
      <c r="Y354" s="3"/>
      <c r="Z354" s="3"/>
      <c r="AA354" s="3"/>
      <c r="AB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4"/>
      <c r="X355" s="3"/>
      <c r="Y355" s="3"/>
      <c r="Z355" s="3"/>
      <c r="AA355" s="3"/>
      <c r="AB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4"/>
      <c r="X356" s="3"/>
      <c r="Y356" s="3"/>
      <c r="Z356" s="3"/>
      <c r="AA356" s="3"/>
      <c r="AB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4"/>
      <c r="X357" s="3"/>
      <c r="Y357" s="3"/>
      <c r="Z357" s="3"/>
      <c r="AA357" s="3"/>
      <c r="AB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4"/>
      <c r="X358" s="3"/>
      <c r="Y358" s="3"/>
      <c r="Z358" s="3"/>
      <c r="AA358" s="3"/>
      <c r="AB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4"/>
      <c r="X359" s="3"/>
      <c r="Y359" s="3"/>
      <c r="Z359" s="3"/>
      <c r="AA359" s="3"/>
      <c r="AB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4"/>
      <c r="X360" s="3"/>
      <c r="Y360" s="3"/>
      <c r="Z360" s="3"/>
      <c r="AA360" s="3"/>
      <c r="AB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4"/>
      <c r="X361" s="3"/>
      <c r="Y361" s="3"/>
      <c r="Z361" s="3"/>
      <c r="AA361" s="3"/>
      <c r="AB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4"/>
      <c r="X362" s="3"/>
      <c r="Y362" s="3"/>
      <c r="Z362" s="3"/>
      <c r="AA362" s="3"/>
      <c r="AB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4"/>
      <c r="X363" s="3"/>
      <c r="Y363" s="3"/>
      <c r="Z363" s="3"/>
      <c r="AA363" s="3"/>
      <c r="AB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4"/>
      <c r="X364" s="3"/>
      <c r="Y364" s="3"/>
      <c r="Z364" s="3"/>
      <c r="AA364" s="3"/>
      <c r="AB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4"/>
      <c r="X365" s="3"/>
      <c r="Y365" s="3"/>
      <c r="Z365" s="3"/>
      <c r="AA365" s="3"/>
      <c r="AB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4"/>
      <c r="X366" s="3"/>
      <c r="Y366" s="3"/>
      <c r="Z366" s="3"/>
      <c r="AA366" s="3"/>
      <c r="AB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4"/>
      <c r="X367" s="3"/>
      <c r="Y367" s="3"/>
      <c r="Z367" s="3"/>
      <c r="AA367" s="3"/>
      <c r="AB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4"/>
      <c r="X368" s="3"/>
      <c r="Y368" s="3"/>
      <c r="Z368" s="3"/>
      <c r="AA368" s="3"/>
      <c r="AB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4"/>
      <c r="X369" s="3"/>
      <c r="Y369" s="3"/>
      <c r="Z369" s="3"/>
      <c r="AA369" s="3"/>
      <c r="AB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4"/>
      <c r="X370" s="3"/>
      <c r="Y370" s="3"/>
      <c r="Z370" s="3"/>
      <c r="AA370" s="3"/>
      <c r="AB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4"/>
      <c r="X371" s="3"/>
      <c r="Y371" s="3"/>
      <c r="Z371" s="3"/>
      <c r="AA371" s="3"/>
      <c r="AB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4"/>
      <c r="X372" s="3"/>
      <c r="Y372" s="3"/>
      <c r="Z372" s="3"/>
      <c r="AA372" s="3"/>
      <c r="AB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4"/>
      <c r="X373" s="3"/>
      <c r="Y373" s="3"/>
      <c r="Z373" s="3"/>
      <c r="AA373" s="3"/>
      <c r="AB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4"/>
      <c r="X374" s="3"/>
      <c r="Y374" s="3"/>
      <c r="Z374" s="3"/>
      <c r="AA374" s="3"/>
      <c r="AB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4"/>
      <c r="X375" s="3"/>
      <c r="Y375" s="3"/>
      <c r="Z375" s="3"/>
      <c r="AA375" s="3"/>
      <c r="AB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4"/>
      <c r="X376" s="3"/>
      <c r="Y376" s="3"/>
      <c r="Z376" s="3"/>
      <c r="AA376" s="3"/>
      <c r="AB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4"/>
      <c r="X377" s="3"/>
      <c r="Y377" s="3"/>
      <c r="Z377" s="3"/>
      <c r="AA377" s="3"/>
      <c r="AB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4"/>
      <c r="X378" s="3"/>
      <c r="Y378" s="3"/>
      <c r="Z378" s="3"/>
      <c r="AA378" s="3"/>
      <c r="AB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4"/>
      <c r="X379" s="3"/>
      <c r="Y379" s="3"/>
      <c r="Z379" s="3"/>
      <c r="AA379" s="3"/>
      <c r="AB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4"/>
      <c r="X380" s="3"/>
      <c r="Y380" s="3"/>
      <c r="Z380" s="3"/>
      <c r="AA380" s="3"/>
      <c r="AB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4"/>
      <c r="X381" s="3"/>
      <c r="Y381" s="3"/>
      <c r="Z381" s="3"/>
      <c r="AA381" s="3"/>
      <c r="AB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4"/>
      <c r="X382" s="3"/>
      <c r="Y382" s="3"/>
      <c r="Z382" s="3"/>
      <c r="AA382" s="3"/>
      <c r="AB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4"/>
      <c r="X383" s="3"/>
      <c r="Y383" s="3"/>
      <c r="Z383" s="3"/>
      <c r="AA383" s="3"/>
      <c r="AB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4"/>
      <c r="X384" s="3"/>
      <c r="Y384" s="3"/>
      <c r="Z384" s="3"/>
      <c r="AA384" s="3"/>
      <c r="AB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4"/>
      <c r="X385" s="3"/>
      <c r="Y385" s="3"/>
      <c r="Z385" s="3"/>
      <c r="AA385" s="3"/>
      <c r="AB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4"/>
      <c r="X386" s="3"/>
      <c r="Y386" s="3"/>
      <c r="Z386" s="3"/>
      <c r="AA386" s="3"/>
      <c r="AB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4"/>
      <c r="X387" s="3"/>
      <c r="Y387" s="3"/>
      <c r="Z387" s="3"/>
      <c r="AA387" s="3"/>
      <c r="AB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4"/>
      <c r="X388" s="3"/>
      <c r="Y388" s="3"/>
      <c r="Z388" s="3"/>
      <c r="AA388" s="3"/>
      <c r="AB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4"/>
      <c r="X389" s="3"/>
      <c r="Y389" s="3"/>
      <c r="Z389" s="3"/>
      <c r="AA389" s="3"/>
      <c r="AB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4"/>
      <c r="X390" s="3"/>
      <c r="Y390" s="3"/>
      <c r="Z390" s="3"/>
      <c r="AA390" s="3"/>
      <c r="AB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4"/>
      <c r="X391" s="3"/>
      <c r="Y391" s="3"/>
      <c r="Z391" s="3"/>
      <c r="AA391" s="3"/>
      <c r="AB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4"/>
      <c r="X392" s="3"/>
      <c r="Y392" s="3"/>
      <c r="Z392" s="3"/>
      <c r="AA392" s="3"/>
      <c r="AB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4"/>
      <c r="X393" s="3"/>
      <c r="Y393" s="3"/>
      <c r="Z393" s="3"/>
      <c r="AA393" s="3"/>
      <c r="AB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4"/>
      <c r="X394" s="3"/>
      <c r="Y394" s="3"/>
      <c r="Z394" s="3"/>
      <c r="AA394" s="3"/>
      <c r="AB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4"/>
      <c r="X395" s="3"/>
      <c r="Y395" s="3"/>
      <c r="Z395" s="3"/>
      <c r="AA395" s="3"/>
      <c r="AB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4"/>
      <c r="X396" s="3"/>
      <c r="Y396" s="3"/>
      <c r="Z396" s="3"/>
      <c r="AA396" s="3"/>
      <c r="AB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4"/>
      <c r="X397" s="3"/>
      <c r="Y397" s="3"/>
      <c r="Z397" s="3"/>
      <c r="AA397" s="3"/>
      <c r="AB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4"/>
      <c r="X398" s="3"/>
      <c r="Y398" s="3"/>
      <c r="Z398" s="3"/>
      <c r="AA398" s="3"/>
      <c r="AB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4"/>
      <c r="X399" s="3"/>
      <c r="Y399" s="3"/>
      <c r="Z399" s="3"/>
      <c r="AA399" s="3"/>
      <c r="AB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4"/>
      <c r="X400" s="3"/>
      <c r="Y400" s="3"/>
      <c r="Z400" s="3"/>
      <c r="AA400" s="3"/>
      <c r="AB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4"/>
      <c r="X401" s="3"/>
      <c r="Y401" s="3"/>
      <c r="Z401" s="3"/>
      <c r="AA401" s="3"/>
      <c r="AB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4"/>
      <c r="X402" s="3"/>
      <c r="Y402" s="3"/>
      <c r="Z402" s="3"/>
      <c r="AA402" s="3"/>
      <c r="AB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4"/>
      <c r="X403" s="3"/>
      <c r="Y403" s="3"/>
      <c r="Z403" s="3"/>
      <c r="AA403" s="3"/>
      <c r="AB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4"/>
      <c r="X404" s="3"/>
      <c r="Y404" s="3"/>
      <c r="Z404" s="3"/>
      <c r="AA404" s="3"/>
      <c r="AB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4"/>
      <c r="X405" s="3"/>
      <c r="Y405" s="3"/>
      <c r="Z405" s="3"/>
      <c r="AA405" s="3"/>
      <c r="AB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4"/>
      <c r="X406" s="3"/>
      <c r="Y406" s="3"/>
      <c r="Z406" s="3"/>
      <c r="AA406" s="3"/>
      <c r="AB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4"/>
      <c r="X407" s="3"/>
      <c r="Y407" s="3"/>
      <c r="Z407" s="3"/>
      <c r="AA407" s="3"/>
      <c r="AB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4"/>
      <c r="X408" s="3"/>
      <c r="Y408" s="3"/>
      <c r="Z408" s="3"/>
      <c r="AA408" s="3"/>
      <c r="AB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4"/>
      <c r="X409" s="3"/>
      <c r="Y409" s="3"/>
      <c r="Z409" s="3"/>
      <c r="AA409" s="3"/>
      <c r="AB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4"/>
      <c r="X410" s="3"/>
      <c r="Y410" s="3"/>
      <c r="Z410" s="3"/>
      <c r="AA410" s="3"/>
      <c r="AB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4"/>
      <c r="X411" s="3"/>
      <c r="Y411" s="3"/>
      <c r="Z411" s="3"/>
      <c r="AA411" s="3"/>
      <c r="AB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4"/>
      <c r="X412" s="3"/>
      <c r="Y412" s="3"/>
      <c r="Z412" s="3"/>
      <c r="AA412" s="3"/>
      <c r="AB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4"/>
      <c r="X413" s="3"/>
      <c r="Y413" s="3"/>
      <c r="Z413" s="3"/>
      <c r="AA413" s="3"/>
      <c r="AB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4"/>
      <c r="X414" s="3"/>
      <c r="Y414" s="3"/>
      <c r="Z414" s="3"/>
      <c r="AA414" s="3"/>
      <c r="AB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4"/>
      <c r="X415" s="3"/>
      <c r="Y415" s="3"/>
      <c r="Z415" s="3"/>
      <c r="AA415" s="3"/>
      <c r="AB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4"/>
      <c r="X416" s="3"/>
      <c r="Y416" s="3"/>
      <c r="Z416" s="3"/>
      <c r="AA416" s="3"/>
      <c r="AB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4"/>
      <c r="X417" s="3"/>
      <c r="Y417" s="3"/>
      <c r="Z417" s="3"/>
      <c r="AA417" s="3"/>
      <c r="AB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4"/>
      <c r="X418" s="3"/>
      <c r="Y418" s="3"/>
      <c r="Z418" s="3"/>
      <c r="AA418" s="3"/>
      <c r="AB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4"/>
      <c r="X419" s="3"/>
      <c r="Y419" s="3"/>
      <c r="Z419" s="3"/>
      <c r="AA419" s="3"/>
      <c r="AB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4"/>
      <c r="X420" s="3"/>
      <c r="Y420" s="3"/>
      <c r="Z420" s="3"/>
      <c r="AA420" s="3"/>
      <c r="AB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4"/>
      <c r="X421" s="3"/>
      <c r="Y421" s="3"/>
      <c r="Z421" s="3"/>
      <c r="AA421" s="3"/>
      <c r="AB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4"/>
      <c r="X422" s="3"/>
      <c r="Y422" s="3"/>
      <c r="Z422" s="3"/>
      <c r="AA422" s="3"/>
      <c r="AB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4"/>
      <c r="X423" s="3"/>
      <c r="Y423" s="3"/>
      <c r="Z423" s="3"/>
      <c r="AA423" s="3"/>
      <c r="AB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4"/>
      <c r="X424" s="3"/>
      <c r="Y424" s="3"/>
      <c r="Z424" s="3"/>
      <c r="AA424" s="3"/>
      <c r="AB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4"/>
      <c r="X425" s="3"/>
      <c r="Y425" s="3"/>
      <c r="Z425" s="3"/>
      <c r="AA425" s="3"/>
      <c r="AB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4"/>
      <c r="X426" s="3"/>
      <c r="Y426" s="3"/>
      <c r="Z426" s="3"/>
      <c r="AA426" s="3"/>
      <c r="AB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4"/>
      <c r="X427" s="3"/>
      <c r="Y427" s="3"/>
      <c r="Z427" s="3"/>
      <c r="AA427" s="3"/>
      <c r="AB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4"/>
      <c r="X428" s="3"/>
      <c r="Y428" s="3"/>
      <c r="Z428" s="3"/>
      <c r="AA428" s="3"/>
      <c r="AB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4"/>
      <c r="X429" s="3"/>
      <c r="Y429" s="3"/>
      <c r="Z429" s="3"/>
      <c r="AA429" s="3"/>
      <c r="AB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4"/>
      <c r="X430" s="3"/>
      <c r="Y430" s="3"/>
      <c r="Z430" s="3"/>
      <c r="AA430" s="3"/>
      <c r="AB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4"/>
      <c r="X431" s="3"/>
      <c r="Y431" s="3"/>
      <c r="Z431" s="3"/>
      <c r="AA431" s="3"/>
      <c r="AB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4"/>
      <c r="X432" s="3"/>
      <c r="Y432" s="3"/>
      <c r="Z432" s="3"/>
      <c r="AA432" s="3"/>
      <c r="AB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4"/>
      <c r="X433" s="3"/>
      <c r="Y433" s="3"/>
      <c r="Z433" s="3"/>
      <c r="AA433" s="3"/>
      <c r="AB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4"/>
      <c r="X434" s="3"/>
      <c r="Y434" s="3"/>
      <c r="Z434" s="3"/>
      <c r="AA434" s="3"/>
      <c r="AB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4"/>
      <c r="X435" s="3"/>
      <c r="Y435" s="3"/>
      <c r="Z435" s="3"/>
      <c r="AA435" s="3"/>
      <c r="AB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4"/>
      <c r="X436" s="3"/>
      <c r="Y436" s="3"/>
      <c r="Z436" s="3"/>
      <c r="AA436" s="3"/>
      <c r="AB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4"/>
      <c r="X437" s="3"/>
      <c r="Y437" s="3"/>
      <c r="Z437" s="3"/>
      <c r="AA437" s="3"/>
      <c r="AB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4"/>
      <c r="X438" s="3"/>
      <c r="Y438" s="3"/>
      <c r="Z438" s="3"/>
      <c r="AA438" s="3"/>
      <c r="AB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4"/>
      <c r="X439" s="3"/>
      <c r="Y439" s="3"/>
      <c r="Z439" s="3"/>
      <c r="AA439" s="3"/>
      <c r="AB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4"/>
      <c r="X440" s="3"/>
      <c r="Y440" s="3"/>
      <c r="Z440" s="3"/>
      <c r="AA440" s="3"/>
      <c r="AB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4"/>
      <c r="X441" s="3"/>
      <c r="Y441" s="3"/>
      <c r="Z441" s="3"/>
      <c r="AA441" s="3"/>
      <c r="AB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4"/>
      <c r="X442" s="3"/>
      <c r="Y442" s="3"/>
      <c r="Z442" s="3"/>
      <c r="AA442" s="3"/>
      <c r="AB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4"/>
      <c r="X443" s="3"/>
      <c r="Y443" s="3"/>
      <c r="Z443" s="3"/>
      <c r="AA443" s="3"/>
      <c r="AB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4"/>
      <c r="X444" s="3"/>
      <c r="Y444" s="3"/>
      <c r="Z444" s="3"/>
      <c r="AA444" s="3"/>
      <c r="AB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4"/>
      <c r="X445" s="3"/>
      <c r="Y445" s="3"/>
      <c r="Z445" s="3"/>
      <c r="AA445" s="3"/>
      <c r="AB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4"/>
      <c r="X446" s="3"/>
      <c r="Y446" s="3"/>
      <c r="Z446" s="3"/>
      <c r="AA446" s="3"/>
      <c r="AB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4"/>
      <c r="X447" s="3"/>
      <c r="Y447" s="3"/>
      <c r="Z447" s="3"/>
      <c r="AA447" s="3"/>
      <c r="AB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4"/>
      <c r="X448" s="3"/>
      <c r="Y448" s="3"/>
      <c r="Z448" s="3"/>
      <c r="AA448" s="3"/>
      <c r="AB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4"/>
      <c r="X449" s="3"/>
      <c r="Y449" s="3"/>
      <c r="Z449" s="3"/>
      <c r="AA449" s="3"/>
      <c r="AB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4"/>
      <c r="X450" s="3"/>
      <c r="Y450" s="3"/>
      <c r="Z450" s="3"/>
      <c r="AA450" s="3"/>
      <c r="AB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4"/>
      <c r="X451" s="3"/>
      <c r="Y451" s="3"/>
      <c r="Z451" s="3"/>
      <c r="AA451" s="3"/>
      <c r="AB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4"/>
      <c r="X452" s="3"/>
      <c r="Y452" s="3"/>
      <c r="Z452" s="3"/>
      <c r="AA452" s="3"/>
      <c r="AB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4"/>
      <c r="X453" s="3"/>
      <c r="Y453" s="3"/>
      <c r="Z453" s="3"/>
      <c r="AA453" s="3"/>
      <c r="AB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4"/>
      <c r="X454" s="3"/>
      <c r="Y454" s="3"/>
      <c r="Z454" s="3"/>
      <c r="AA454" s="3"/>
      <c r="AB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4"/>
      <c r="X455" s="3"/>
      <c r="Y455" s="3"/>
      <c r="Z455" s="3"/>
      <c r="AA455" s="3"/>
      <c r="AB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4"/>
      <c r="X456" s="3"/>
      <c r="Y456" s="3"/>
      <c r="Z456" s="3"/>
      <c r="AA456" s="3"/>
      <c r="AB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4"/>
      <c r="X457" s="3"/>
      <c r="Y457" s="3"/>
      <c r="Z457" s="3"/>
      <c r="AA457" s="3"/>
      <c r="AB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4"/>
      <c r="X458" s="3"/>
      <c r="Y458" s="3"/>
      <c r="Z458" s="3"/>
      <c r="AA458" s="3"/>
      <c r="AB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4"/>
      <c r="X459" s="3"/>
      <c r="Y459" s="3"/>
      <c r="Z459" s="3"/>
      <c r="AA459" s="3"/>
      <c r="AB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4"/>
      <c r="X460" s="3"/>
      <c r="Y460" s="3"/>
      <c r="Z460" s="3"/>
      <c r="AA460" s="3"/>
      <c r="AB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4"/>
      <c r="X461" s="3"/>
      <c r="Y461" s="3"/>
      <c r="Z461" s="3"/>
      <c r="AA461" s="3"/>
      <c r="AB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4"/>
      <c r="X462" s="3"/>
      <c r="Y462" s="3"/>
      <c r="Z462" s="3"/>
      <c r="AA462" s="3"/>
      <c r="AB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4"/>
      <c r="X463" s="3"/>
      <c r="Y463" s="3"/>
      <c r="Z463" s="3"/>
      <c r="AA463" s="3"/>
      <c r="AB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4"/>
      <c r="X464" s="3"/>
      <c r="Y464" s="3"/>
      <c r="Z464" s="3"/>
      <c r="AA464" s="3"/>
      <c r="AB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4"/>
      <c r="X465" s="3"/>
      <c r="Y465" s="3"/>
      <c r="Z465" s="3"/>
      <c r="AA465" s="3"/>
      <c r="AB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4"/>
      <c r="X466" s="3"/>
      <c r="Y466" s="3"/>
      <c r="Z466" s="3"/>
      <c r="AA466" s="3"/>
      <c r="AB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4"/>
      <c r="X467" s="3"/>
      <c r="Y467" s="3"/>
      <c r="Z467" s="3"/>
      <c r="AA467" s="3"/>
      <c r="AB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4"/>
      <c r="X468" s="3"/>
      <c r="Y468" s="3"/>
      <c r="Z468" s="3"/>
      <c r="AA468" s="3"/>
      <c r="AB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4"/>
      <c r="X469" s="3"/>
      <c r="Y469" s="3"/>
      <c r="Z469" s="3"/>
      <c r="AA469" s="3"/>
      <c r="AB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4"/>
      <c r="X470" s="3"/>
      <c r="Y470" s="3"/>
      <c r="Z470" s="3"/>
      <c r="AA470" s="3"/>
      <c r="AB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4"/>
      <c r="X471" s="3"/>
      <c r="Y471" s="3"/>
      <c r="Z471" s="3"/>
      <c r="AA471" s="3"/>
      <c r="AB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4"/>
      <c r="X472" s="3"/>
      <c r="Y472" s="3"/>
      <c r="Z472" s="3"/>
      <c r="AA472" s="3"/>
      <c r="AB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4"/>
      <c r="X473" s="3"/>
      <c r="Y473" s="3"/>
      <c r="Z473" s="3"/>
      <c r="AA473" s="3"/>
      <c r="AB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4"/>
      <c r="X474" s="3"/>
      <c r="Y474" s="3"/>
      <c r="Z474" s="3"/>
      <c r="AA474" s="3"/>
      <c r="AB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4"/>
      <c r="X475" s="3"/>
      <c r="Y475" s="3"/>
      <c r="Z475" s="3"/>
      <c r="AA475" s="3"/>
      <c r="AB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4"/>
      <c r="X476" s="3"/>
      <c r="Y476" s="3"/>
      <c r="Z476" s="3"/>
      <c r="AA476" s="3"/>
      <c r="AB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4"/>
      <c r="X477" s="3"/>
      <c r="Y477" s="3"/>
      <c r="Z477" s="3"/>
      <c r="AA477" s="3"/>
      <c r="AB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4"/>
      <c r="X478" s="3"/>
      <c r="Y478" s="3"/>
      <c r="Z478" s="3"/>
      <c r="AA478" s="3"/>
      <c r="AB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4"/>
      <c r="X479" s="3"/>
      <c r="Y479" s="3"/>
      <c r="Z479" s="3"/>
      <c r="AA479" s="3"/>
      <c r="AB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4"/>
      <c r="X480" s="3"/>
      <c r="Y480" s="3"/>
      <c r="Z480" s="3"/>
      <c r="AA480" s="3"/>
      <c r="AB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4"/>
      <c r="X481" s="3"/>
      <c r="Y481" s="3"/>
      <c r="Z481" s="3"/>
      <c r="AA481" s="3"/>
      <c r="AB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4"/>
      <c r="X482" s="3"/>
      <c r="Y482" s="3"/>
      <c r="Z482" s="3"/>
      <c r="AA482" s="3"/>
      <c r="AB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4"/>
      <c r="X483" s="3"/>
      <c r="Y483" s="3"/>
      <c r="Z483" s="3"/>
      <c r="AA483" s="3"/>
      <c r="AB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4"/>
      <c r="X484" s="3"/>
      <c r="Y484" s="3"/>
      <c r="Z484" s="3"/>
      <c r="AA484" s="3"/>
      <c r="AB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4"/>
      <c r="X485" s="3"/>
      <c r="Y485" s="3"/>
      <c r="Z485" s="3"/>
      <c r="AA485" s="3"/>
      <c r="AB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4"/>
      <c r="X486" s="3"/>
      <c r="Y486" s="3"/>
      <c r="Z486" s="3"/>
      <c r="AA486" s="3"/>
      <c r="AB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4"/>
      <c r="X487" s="3"/>
      <c r="Y487" s="3"/>
      <c r="Z487" s="3"/>
      <c r="AA487" s="3"/>
      <c r="AB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4"/>
      <c r="X488" s="3"/>
      <c r="Y488" s="3"/>
      <c r="Z488" s="3"/>
      <c r="AA488" s="3"/>
      <c r="AB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4"/>
      <c r="X489" s="3"/>
      <c r="Y489" s="3"/>
      <c r="Z489" s="3"/>
      <c r="AA489" s="3"/>
      <c r="AB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4"/>
      <c r="X490" s="3"/>
      <c r="Y490" s="3"/>
      <c r="Z490" s="3"/>
      <c r="AA490" s="3"/>
      <c r="AB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4"/>
      <c r="X491" s="3"/>
      <c r="Y491" s="3"/>
      <c r="Z491" s="3"/>
      <c r="AA491" s="3"/>
      <c r="AB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4"/>
      <c r="X492" s="3"/>
      <c r="Y492" s="3"/>
      <c r="Z492" s="3"/>
      <c r="AA492" s="3"/>
      <c r="AB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4"/>
      <c r="X493" s="3"/>
      <c r="Y493" s="3"/>
      <c r="Z493" s="3"/>
      <c r="AA493" s="3"/>
      <c r="AB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4"/>
      <c r="X494" s="3"/>
      <c r="Y494" s="3"/>
      <c r="Z494" s="3"/>
      <c r="AA494" s="3"/>
      <c r="AB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4"/>
      <c r="X495" s="3"/>
      <c r="Y495" s="3"/>
      <c r="Z495" s="3"/>
      <c r="AA495" s="3"/>
      <c r="AB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4"/>
      <c r="X496" s="3"/>
      <c r="Y496" s="3"/>
      <c r="Z496" s="3"/>
      <c r="AA496" s="3"/>
      <c r="AB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4"/>
      <c r="X497" s="3"/>
      <c r="Y497" s="3"/>
      <c r="Z497" s="3"/>
      <c r="AA497" s="3"/>
      <c r="AB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4"/>
      <c r="X498" s="3"/>
      <c r="Y498" s="3"/>
      <c r="Z498" s="3"/>
      <c r="AA498" s="3"/>
      <c r="AB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4"/>
      <c r="X499" s="3"/>
      <c r="Y499" s="3"/>
      <c r="Z499" s="3"/>
      <c r="AA499" s="3"/>
      <c r="AB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4"/>
      <c r="X500" s="3"/>
      <c r="Y500" s="3"/>
      <c r="Z500" s="3"/>
      <c r="AA500" s="3"/>
      <c r="AB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4"/>
      <c r="X501" s="3"/>
      <c r="Y501" s="3"/>
      <c r="Z501" s="3"/>
      <c r="AA501" s="3"/>
      <c r="AB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4"/>
      <c r="X502" s="3"/>
      <c r="Y502" s="3"/>
      <c r="Z502" s="3"/>
      <c r="AA502" s="3"/>
      <c r="AB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4"/>
      <c r="X503" s="3"/>
      <c r="Y503" s="3"/>
      <c r="Z503" s="3"/>
      <c r="AA503" s="3"/>
      <c r="AB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4"/>
      <c r="X504" s="3"/>
      <c r="Y504" s="3"/>
      <c r="Z504" s="3"/>
      <c r="AA504" s="3"/>
      <c r="AB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4"/>
      <c r="X505" s="3"/>
      <c r="Y505" s="3"/>
      <c r="Z505" s="3"/>
      <c r="AA505" s="3"/>
      <c r="AB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4"/>
      <c r="X506" s="3"/>
      <c r="Y506" s="3"/>
      <c r="Z506" s="3"/>
      <c r="AA506" s="3"/>
      <c r="AB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4"/>
      <c r="X507" s="3"/>
      <c r="Y507" s="3"/>
      <c r="Z507" s="3"/>
      <c r="AA507" s="3"/>
      <c r="AB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4"/>
      <c r="X508" s="3"/>
      <c r="Y508" s="3"/>
      <c r="Z508" s="3"/>
      <c r="AA508" s="3"/>
      <c r="AB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4"/>
      <c r="X509" s="3"/>
      <c r="Y509" s="3"/>
      <c r="Z509" s="3"/>
      <c r="AA509" s="3"/>
      <c r="AB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4"/>
      <c r="X510" s="3"/>
      <c r="Y510" s="3"/>
      <c r="Z510" s="3"/>
      <c r="AA510" s="3"/>
      <c r="AB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4"/>
      <c r="X511" s="3"/>
      <c r="Y511" s="3"/>
      <c r="Z511" s="3"/>
      <c r="AA511" s="3"/>
      <c r="AB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4"/>
      <c r="X512" s="3"/>
      <c r="Y512" s="3"/>
      <c r="Z512" s="3"/>
      <c r="AA512" s="3"/>
      <c r="AB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4"/>
      <c r="X513" s="3"/>
      <c r="Y513" s="3"/>
      <c r="Z513" s="3"/>
      <c r="AA513" s="3"/>
      <c r="AB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4"/>
      <c r="X514" s="3"/>
      <c r="Y514" s="3"/>
      <c r="Z514" s="3"/>
      <c r="AA514" s="3"/>
      <c r="AB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4"/>
      <c r="X515" s="3"/>
      <c r="Y515" s="3"/>
      <c r="Z515" s="3"/>
      <c r="AA515" s="3"/>
      <c r="AB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4"/>
      <c r="X516" s="3"/>
      <c r="Y516" s="3"/>
      <c r="Z516" s="3"/>
      <c r="AA516" s="3"/>
      <c r="AB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4"/>
      <c r="X517" s="3"/>
      <c r="Y517" s="3"/>
      <c r="Z517" s="3"/>
      <c r="AA517" s="3"/>
      <c r="AB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4"/>
      <c r="X518" s="3"/>
      <c r="Y518" s="3"/>
      <c r="Z518" s="3"/>
      <c r="AA518" s="3"/>
      <c r="AB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4"/>
      <c r="X519" s="3"/>
      <c r="Y519" s="3"/>
      <c r="Z519" s="3"/>
      <c r="AA519" s="3"/>
      <c r="AB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4"/>
      <c r="X520" s="3"/>
      <c r="Y520" s="3"/>
      <c r="Z520" s="3"/>
      <c r="AA520" s="3"/>
      <c r="AB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4"/>
      <c r="X521" s="3"/>
      <c r="Y521" s="3"/>
      <c r="Z521" s="3"/>
      <c r="AA521" s="3"/>
      <c r="AB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4"/>
      <c r="X522" s="3"/>
      <c r="Y522" s="3"/>
      <c r="Z522" s="3"/>
      <c r="AA522" s="3"/>
      <c r="AB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4"/>
      <c r="X523" s="3"/>
      <c r="Y523" s="3"/>
      <c r="Z523" s="3"/>
      <c r="AA523" s="3"/>
      <c r="AB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4"/>
      <c r="X524" s="3"/>
      <c r="Y524" s="3"/>
      <c r="Z524" s="3"/>
      <c r="AA524" s="3"/>
      <c r="AB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4"/>
      <c r="X525" s="3"/>
      <c r="Y525" s="3"/>
      <c r="Z525" s="3"/>
      <c r="AA525" s="3"/>
      <c r="AB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4"/>
      <c r="X526" s="3"/>
      <c r="Y526" s="3"/>
      <c r="Z526" s="3"/>
      <c r="AA526" s="3"/>
      <c r="AB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4"/>
      <c r="X527" s="3"/>
      <c r="Y527" s="3"/>
      <c r="Z527" s="3"/>
      <c r="AA527" s="3"/>
      <c r="AB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4"/>
      <c r="X528" s="3"/>
      <c r="Y528" s="3"/>
      <c r="Z528" s="3"/>
      <c r="AA528" s="3"/>
      <c r="AB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4"/>
      <c r="X529" s="3"/>
      <c r="Y529" s="3"/>
      <c r="Z529" s="3"/>
      <c r="AA529" s="3"/>
      <c r="AB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4"/>
      <c r="X530" s="3"/>
      <c r="Y530" s="3"/>
      <c r="Z530" s="3"/>
      <c r="AA530" s="3"/>
      <c r="AB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4"/>
      <c r="X531" s="3"/>
      <c r="Y531" s="3"/>
      <c r="Z531" s="3"/>
      <c r="AA531" s="3"/>
      <c r="AB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4"/>
      <c r="X532" s="3"/>
      <c r="Y532" s="3"/>
      <c r="Z532" s="3"/>
      <c r="AA532" s="3"/>
      <c r="AB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4"/>
      <c r="X533" s="3"/>
      <c r="Y533" s="3"/>
      <c r="Z533" s="3"/>
      <c r="AA533" s="3"/>
      <c r="AB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4"/>
      <c r="X534" s="3"/>
      <c r="Y534" s="3"/>
      <c r="Z534" s="3"/>
      <c r="AA534" s="3"/>
      <c r="AB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4"/>
      <c r="X535" s="3"/>
      <c r="Y535" s="3"/>
      <c r="Z535" s="3"/>
      <c r="AA535" s="3"/>
      <c r="AB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4"/>
      <c r="X536" s="3"/>
      <c r="Y536" s="3"/>
      <c r="Z536" s="3"/>
      <c r="AA536" s="3"/>
      <c r="AB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4"/>
      <c r="X537" s="3"/>
      <c r="Y537" s="3"/>
      <c r="Z537" s="3"/>
      <c r="AA537" s="3"/>
      <c r="AB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4"/>
      <c r="X538" s="3"/>
      <c r="Y538" s="3"/>
      <c r="Z538" s="3"/>
      <c r="AA538" s="3"/>
      <c r="AB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4"/>
      <c r="X539" s="3"/>
      <c r="Y539" s="3"/>
      <c r="Z539" s="3"/>
      <c r="AA539" s="3"/>
      <c r="AB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4"/>
      <c r="X540" s="3"/>
      <c r="Y540" s="3"/>
      <c r="Z540" s="3"/>
      <c r="AA540" s="3"/>
      <c r="AB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4"/>
      <c r="X541" s="3"/>
      <c r="Y541" s="3"/>
      <c r="Z541" s="3"/>
      <c r="AA541" s="3"/>
      <c r="AB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4"/>
      <c r="X542" s="3"/>
      <c r="Y542" s="3"/>
      <c r="Z542" s="3"/>
      <c r="AA542" s="3"/>
      <c r="AB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4"/>
      <c r="X543" s="3"/>
      <c r="Y543" s="3"/>
      <c r="Z543" s="3"/>
      <c r="AA543" s="3"/>
      <c r="AB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4"/>
      <c r="X544" s="3"/>
      <c r="Y544" s="3"/>
      <c r="Z544" s="3"/>
      <c r="AA544" s="3"/>
      <c r="AB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4"/>
      <c r="X545" s="3"/>
      <c r="Y545" s="3"/>
      <c r="Z545" s="3"/>
      <c r="AA545" s="3"/>
      <c r="AB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4"/>
      <c r="X546" s="3"/>
      <c r="Y546" s="3"/>
      <c r="Z546" s="3"/>
      <c r="AA546" s="3"/>
      <c r="AB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4"/>
      <c r="X547" s="3"/>
      <c r="Y547" s="3"/>
      <c r="Z547" s="3"/>
      <c r="AA547" s="3"/>
      <c r="AB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4"/>
      <c r="X548" s="3"/>
      <c r="Y548" s="3"/>
      <c r="Z548" s="3"/>
      <c r="AA548" s="3"/>
      <c r="AB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4"/>
      <c r="X549" s="3"/>
      <c r="Y549" s="3"/>
      <c r="Z549" s="3"/>
      <c r="AA549" s="3"/>
      <c r="AB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4"/>
      <c r="X550" s="3"/>
      <c r="Y550" s="3"/>
      <c r="Z550" s="3"/>
      <c r="AA550" s="3"/>
      <c r="AB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4"/>
      <c r="X551" s="3"/>
      <c r="Y551" s="3"/>
      <c r="Z551" s="3"/>
      <c r="AA551" s="3"/>
      <c r="AB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4"/>
      <c r="X552" s="3"/>
      <c r="Y552" s="3"/>
      <c r="Z552" s="3"/>
      <c r="AA552" s="3"/>
      <c r="AB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4"/>
      <c r="X553" s="3"/>
      <c r="Y553" s="3"/>
      <c r="Z553" s="3"/>
      <c r="AA553" s="3"/>
      <c r="AB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4"/>
      <c r="X554" s="3"/>
      <c r="Y554" s="3"/>
      <c r="Z554" s="3"/>
      <c r="AA554" s="3"/>
      <c r="AB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4"/>
      <c r="X555" s="3"/>
      <c r="Y555" s="3"/>
      <c r="Z555" s="3"/>
      <c r="AA555" s="3"/>
      <c r="AB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4"/>
      <c r="X556" s="3"/>
      <c r="Y556" s="3"/>
      <c r="Z556" s="3"/>
      <c r="AA556" s="3"/>
      <c r="AB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4"/>
      <c r="X557" s="3"/>
      <c r="Y557" s="3"/>
      <c r="Z557" s="3"/>
      <c r="AA557" s="3"/>
      <c r="AB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4"/>
      <c r="X558" s="3"/>
      <c r="Y558" s="3"/>
      <c r="Z558" s="3"/>
      <c r="AA558" s="3"/>
      <c r="AB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4"/>
      <c r="X559" s="3"/>
      <c r="Y559" s="3"/>
      <c r="Z559" s="3"/>
      <c r="AA559" s="3"/>
      <c r="AB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4"/>
      <c r="X560" s="3"/>
      <c r="Y560" s="3"/>
      <c r="Z560" s="3"/>
      <c r="AA560" s="3"/>
      <c r="AB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4"/>
      <c r="X561" s="3"/>
      <c r="Y561" s="3"/>
      <c r="Z561" s="3"/>
      <c r="AA561" s="3"/>
      <c r="AB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4"/>
      <c r="X562" s="3"/>
      <c r="Y562" s="3"/>
      <c r="Z562" s="3"/>
      <c r="AA562" s="3"/>
      <c r="AB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4"/>
      <c r="X563" s="3"/>
      <c r="Y563" s="3"/>
      <c r="Z563" s="3"/>
      <c r="AA563" s="3"/>
      <c r="AB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4"/>
      <c r="X564" s="3"/>
      <c r="Y564" s="3"/>
      <c r="Z564" s="3"/>
      <c r="AA564" s="3"/>
      <c r="AB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4"/>
      <c r="X565" s="3"/>
      <c r="Y565" s="3"/>
      <c r="Z565" s="3"/>
      <c r="AA565" s="3"/>
      <c r="AB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4"/>
      <c r="X566" s="3"/>
      <c r="Y566" s="3"/>
      <c r="Z566" s="3"/>
      <c r="AA566" s="3"/>
      <c r="AB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4"/>
      <c r="X567" s="3"/>
      <c r="Y567" s="3"/>
      <c r="Z567" s="3"/>
      <c r="AA567" s="3"/>
      <c r="AB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4"/>
      <c r="X568" s="3"/>
      <c r="Y568" s="3"/>
      <c r="Z568" s="3"/>
      <c r="AA568" s="3"/>
      <c r="AB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4"/>
      <c r="X569" s="3"/>
      <c r="Y569" s="3"/>
      <c r="Z569" s="3"/>
      <c r="AA569" s="3"/>
      <c r="AB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4"/>
      <c r="X570" s="3"/>
      <c r="Y570" s="3"/>
      <c r="Z570" s="3"/>
      <c r="AA570" s="3"/>
      <c r="AB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4"/>
      <c r="X571" s="3"/>
      <c r="Y571" s="3"/>
      <c r="Z571" s="3"/>
      <c r="AA571" s="3"/>
      <c r="AB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4"/>
      <c r="X572" s="3"/>
      <c r="Y572" s="3"/>
      <c r="Z572" s="3"/>
      <c r="AA572" s="3"/>
      <c r="AB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4"/>
      <c r="X573" s="3"/>
      <c r="Y573" s="3"/>
      <c r="Z573" s="3"/>
      <c r="AA573" s="3"/>
      <c r="AB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4"/>
      <c r="X574" s="3"/>
      <c r="Y574" s="3"/>
      <c r="Z574" s="3"/>
      <c r="AA574" s="3"/>
      <c r="AB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4"/>
      <c r="X575" s="3"/>
      <c r="Y575" s="3"/>
      <c r="Z575" s="3"/>
      <c r="AA575" s="3"/>
      <c r="AB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4"/>
      <c r="X576" s="3"/>
      <c r="Y576" s="3"/>
      <c r="Z576" s="3"/>
      <c r="AA576" s="3"/>
      <c r="AB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4"/>
      <c r="X577" s="3"/>
      <c r="Y577" s="3"/>
      <c r="Z577" s="3"/>
      <c r="AA577" s="3"/>
      <c r="AB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4"/>
      <c r="X578" s="3"/>
      <c r="Y578" s="3"/>
      <c r="Z578" s="3"/>
      <c r="AA578" s="3"/>
      <c r="AB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4"/>
      <c r="X579" s="3"/>
      <c r="Y579" s="3"/>
      <c r="Z579" s="3"/>
      <c r="AA579" s="3"/>
      <c r="AB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4"/>
      <c r="X580" s="3"/>
      <c r="Y580" s="3"/>
      <c r="Z580" s="3"/>
      <c r="AA580" s="3"/>
      <c r="AB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4"/>
      <c r="X581" s="3"/>
      <c r="Y581" s="3"/>
      <c r="Z581" s="3"/>
      <c r="AA581" s="3"/>
      <c r="AB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4"/>
      <c r="X582" s="3"/>
      <c r="Y582" s="3"/>
      <c r="Z582" s="3"/>
      <c r="AA582" s="3"/>
      <c r="AB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4"/>
      <c r="X583" s="3"/>
      <c r="Y583" s="3"/>
      <c r="Z583" s="3"/>
      <c r="AA583" s="3"/>
      <c r="AB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4"/>
      <c r="X584" s="3"/>
      <c r="Y584" s="3"/>
      <c r="Z584" s="3"/>
      <c r="AA584" s="3"/>
      <c r="AB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4"/>
      <c r="X585" s="3"/>
      <c r="Y585" s="3"/>
      <c r="Z585" s="3"/>
      <c r="AA585" s="3"/>
      <c r="AB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4"/>
      <c r="X586" s="3"/>
      <c r="Y586" s="3"/>
      <c r="Z586" s="3"/>
      <c r="AA586" s="3"/>
      <c r="AB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4"/>
      <c r="X587" s="3"/>
      <c r="Y587" s="3"/>
      <c r="Z587" s="3"/>
      <c r="AA587" s="3"/>
      <c r="AB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4"/>
      <c r="X588" s="3"/>
      <c r="Y588" s="3"/>
      <c r="Z588" s="3"/>
      <c r="AA588" s="3"/>
      <c r="AB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4"/>
      <c r="X589" s="3"/>
      <c r="Y589" s="3"/>
      <c r="Z589" s="3"/>
      <c r="AA589" s="3"/>
      <c r="AB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4"/>
      <c r="X590" s="3"/>
      <c r="Y590" s="3"/>
      <c r="Z590" s="3"/>
      <c r="AA590" s="3"/>
      <c r="AB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4"/>
      <c r="X591" s="3"/>
      <c r="Y591" s="3"/>
      <c r="Z591" s="3"/>
      <c r="AA591" s="3"/>
      <c r="AB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4"/>
      <c r="X592" s="3"/>
      <c r="Y592" s="3"/>
      <c r="Z592" s="3"/>
      <c r="AA592" s="3"/>
      <c r="AB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4"/>
      <c r="X593" s="3"/>
      <c r="Y593" s="3"/>
      <c r="Z593" s="3"/>
      <c r="AA593" s="3"/>
      <c r="AB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4"/>
      <c r="X594" s="3"/>
      <c r="Y594" s="3"/>
      <c r="Z594" s="3"/>
      <c r="AA594" s="3"/>
      <c r="AB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4"/>
      <c r="X595" s="3"/>
      <c r="Y595" s="3"/>
      <c r="Z595" s="3"/>
      <c r="AA595" s="3"/>
      <c r="AB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4"/>
      <c r="X596" s="3"/>
      <c r="Y596" s="3"/>
      <c r="Z596" s="3"/>
      <c r="AA596" s="3"/>
      <c r="AB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4"/>
      <c r="X597" s="3"/>
      <c r="Y597" s="3"/>
      <c r="Z597" s="3"/>
      <c r="AA597" s="3"/>
      <c r="AB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4"/>
      <c r="X598" s="3"/>
      <c r="Y598" s="3"/>
      <c r="Z598" s="3"/>
      <c r="AA598" s="3"/>
      <c r="AB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4"/>
      <c r="X599" s="3"/>
      <c r="Y599" s="3"/>
      <c r="Z599" s="3"/>
      <c r="AA599" s="3"/>
      <c r="AB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4"/>
      <c r="X600" s="3"/>
      <c r="Y600" s="3"/>
      <c r="Z600" s="3"/>
      <c r="AA600" s="3"/>
      <c r="AB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4"/>
      <c r="X601" s="3"/>
      <c r="Y601" s="3"/>
      <c r="Z601" s="3"/>
      <c r="AA601" s="3"/>
      <c r="AB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4"/>
      <c r="X602" s="3"/>
      <c r="Y602" s="3"/>
      <c r="Z602" s="3"/>
      <c r="AA602" s="3"/>
      <c r="AB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4"/>
      <c r="X603" s="3"/>
      <c r="Y603" s="3"/>
      <c r="Z603" s="3"/>
      <c r="AA603" s="3"/>
      <c r="AB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4"/>
      <c r="X604" s="3"/>
      <c r="Y604" s="3"/>
      <c r="Z604" s="3"/>
      <c r="AA604" s="3"/>
      <c r="AB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4"/>
      <c r="X605" s="3"/>
      <c r="Y605" s="3"/>
      <c r="Z605" s="3"/>
      <c r="AA605" s="3"/>
      <c r="AB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4"/>
      <c r="X606" s="3"/>
      <c r="Y606" s="3"/>
      <c r="Z606" s="3"/>
      <c r="AA606" s="3"/>
      <c r="AB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4"/>
      <c r="X607" s="3"/>
      <c r="Y607" s="3"/>
      <c r="Z607" s="3"/>
      <c r="AA607" s="3"/>
      <c r="AB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4"/>
      <c r="X608" s="3"/>
      <c r="Y608" s="3"/>
      <c r="Z608" s="3"/>
      <c r="AA608" s="3"/>
      <c r="AB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4"/>
      <c r="X609" s="3"/>
      <c r="Y609" s="3"/>
      <c r="Z609" s="3"/>
      <c r="AA609" s="3"/>
      <c r="AB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4"/>
      <c r="X610" s="3"/>
      <c r="Y610" s="3"/>
      <c r="Z610" s="3"/>
      <c r="AA610" s="3"/>
      <c r="AB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4"/>
      <c r="X611" s="3"/>
      <c r="Y611" s="3"/>
      <c r="Z611" s="3"/>
      <c r="AA611" s="3"/>
      <c r="AB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4"/>
      <c r="X612" s="3"/>
      <c r="Y612" s="3"/>
      <c r="Z612" s="3"/>
      <c r="AA612" s="3"/>
      <c r="AB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4"/>
      <c r="X613" s="3"/>
      <c r="Y613" s="3"/>
      <c r="Z613" s="3"/>
      <c r="AA613" s="3"/>
      <c r="AB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4"/>
      <c r="X614" s="3"/>
      <c r="Y614" s="3"/>
      <c r="Z614" s="3"/>
      <c r="AA614" s="3"/>
      <c r="AB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4"/>
      <c r="X615" s="3"/>
      <c r="Y615" s="3"/>
      <c r="Z615" s="3"/>
      <c r="AA615" s="3"/>
      <c r="AB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4"/>
      <c r="X616" s="3"/>
      <c r="Y616" s="3"/>
      <c r="Z616" s="3"/>
      <c r="AA616" s="3"/>
      <c r="AB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4"/>
      <c r="X617" s="3"/>
      <c r="Y617" s="3"/>
      <c r="Z617" s="3"/>
      <c r="AA617" s="3"/>
      <c r="AB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4"/>
      <c r="X618" s="3"/>
      <c r="Y618" s="3"/>
      <c r="Z618" s="3"/>
      <c r="AA618" s="3"/>
      <c r="AB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4"/>
      <c r="X619" s="3"/>
      <c r="Y619" s="3"/>
      <c r="Z619" s="3"/>
      <c r="AA619" s="3"/>
      <c r="AB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4"/>
      <c r="X620" s="3"/>
      <c r="Y620" s="3"/>
      <c r="Z620" s="3"/>
      <c r="AA620" s="3"/>
      <c r="AB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4"/>
      <c r="X621" s="3"/>
      <c r="Y621" s="3"/>
      <c r="Z621" s="3"/>
      <c r="AA621" s="3"/>
      <c r="AB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4"/>
      <c r="X622" s="3"/>
      <c r="Y622" s="3"/>
      <c r="Z622" s="3"/>
      <c r="AA622" s="3"/>
      <c r="AB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4"/>
      <c r="X623" s="3"/>
      <c r="Y623" s="3"/>
      <c r="Z623" s="3"/>
      <c r="AA623" s="3"/>
      <c r="AB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4"/>
      <c r="X624" s="3"/>
      <c r="Y624" s="3"/>
      <c r="Z624" s="3"/>
      <c r="AA624" s="3"/>
      <c r="AB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4"/>
      <c r="X625" s="3"/>
      <c r="Y625" s="3"/>
      <c r="Z625" s="3"/>
      <c r="AA625" s="3"/>
      <c r="AB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4"/>
      <c r="X626" s="3"/>
      <c r="Y626" s="3"/>
      <c r="Z626" s="3"/>
      <c r="AA626" s="3"/>
      <c r="AB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4"/>
      <c r="X627" s="3"/>
      <c r="Y627" s="3"/>
      <c r="Z627" s="3"/>
      <c r="AA627" s="3"/>
      <c r="AB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4"/>
      <c r="X628" s="3"/>
      <c r="Y628" s="3"/>
      <c r="Z628" s="3"/>
      <c r="AA628" s="3"/>
      <c r="AB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4"/>
      <c r="X629" s="3"/>
      <c r="Y629" s="3"/>
      <c r="Z629" s="3"/>
      <c r="AA629" s="3"/>
      <c r="AB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4"/>
      <c r="X630" s="3"/>
      <c r="Y630" s="3"/>
      <c r="Z630" s="3"/>
      <c r="AA630" s="3"/>
      <c r="AB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4"/>
      <c r="X631" s="3"/>
      <c r="Y631" s="3"/>
      <c r="Z631" s="3"/>
      <c r="AA631" s="3"/>
      <c r="AB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4"/>
      <c r="X632" s="3"/>
      <c r="Y632" s="3"/>
      <c r="Z632" s="3"/>
      <c r="AA632" s="3"/>
      <c r="AB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4"/>
      <c r="X633" s="3"/>
      <c r="Y633" s="3"/>
      <c r="Z633" s="3"/>
      <c r="AA633" s="3"/>
      <c r="AB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4"/>
      <c r="X634" s="3"/>
      <c r="Y634" s="3"/>
      <c r="Z634" s="3"/>
      <c r="AA634" s="3"/>
      <c r="AB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4"/>
      <c r="X635" s="3"/>
      <c r="Y635" s="3"/>
      <c r="Z635" s="3"/>
      <c r="AA635" s="3"/>
      <c r="AB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4"/>
      <c r="X636" s="3"/>
      <c r="Y636" s="3"/>
      <c r="Z636" s="3"/>
      <c r="AA636" s="3"/>
      <c r="AB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4"/>
      <c r="X637" s="3"/>
      <c r="Y637" s="3"/>
      <c r="Z637" s="3"/>
      <c r="AA637" s="3"/>
      <c r="AB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4"/>
      <c r="X638" s="3"/>
      <c r="Y638" s="3"/>
      <c r="Z638" s="3"/>
      <c r="AA638" s="3"/>
      <c r="AB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4"/>
      <c r="X639" s="3"/>
      <c r="Y639" s="3"/>
      <c r="Z639" s="3"/>
      <c r="AA639" s="3"/>
      <c r="AB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4"/>
      <c r="X640" s="3"/>
      <c r="Y640" s="3"/>
      <c r="Z640" s="3"/>
      <c r="AA640" s="3"/>
      <c r="AB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4"/>
      <c r="X641" s="3"/>
      <c r="Y641" s="3"/>
      <c r="Z641" s="3"/>
      <c r="AA641" s="3"/>
      <c r="AB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4"/>
      <c r="X642" s="3"/>
      <c r="Y642" s="3"/>
      <c r="Z642" s="3"/>
      <c r="AA642" s="3"/>
      <c r="AB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4"/>
      <c r="X643" s="3"/>
      <c r="Y643" s="3"/>
      <c r="Z643" s="3"/>
      <c r="AA643" s="3"/>
      <c r="AB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4"/>
      <c r="X644" s="3"/>
      <c r="Y644" s="3"/>
      <c r="Z644" s="3"/>
      <c r="AA644" s="3"/>
      <c r="AB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4"/>
      <c r="X645" s="3"/>
      <c r="Y645" s="3"/>
      <c r="Z645" s="3"/>
      <c r="AA645" s="3"/>
      <c r="AB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4"/>
      <c r="X646" s="3"/>
      <c r="Y646" s="3"/>
      <c r="Z646" s="3"/>
      <c r="AA646" s="3"/>
      <c r="AB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4"/>
      <c r="X647" s="3"/>
      <c r="Y647" s="3"/>
      <c r="Z647" s="3"/>
      <c r="AA647" s="3"/>
      <c r="AB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4"/>
      <c r="X648" s="3"/>
      <c r="Y648" s="3"/>
      <c r="Z648" s="3"/>
      <c r="AA648" s="3"/>
      <c r="AB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4"/>
      <c r="X649" s="3"/>
      <c r="Y649" s="3"/>
      <c r="Z649" s="3"/>
      <c r="AA649" s="3"/>
      <c r="AB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4"/>
      <c r="X650" s="3"/>
      <c r="Y650" s="3"/>
      <c r="Z650" s="3"/>
      <c r="AA650" s="3"/>
      <c r="AB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4"/>
      <c r="X651" s="3"/>
      <c r="Y651" s="3"/>
      <c r="Z651" s="3"/>
      <c r="AA651" s="3"/>
      <c r="AB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4"/>
      <c r="X652" s="3"/>
      <c r="Y652" s="3"/>
      <c r="Z652" s="3"/>
      <c r="AA652" s="3"/>
      <c r="AB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4"/>
      <c r="X653" s="3"/>
      <c r="Y653" s="3"/>
      <c r="Z653" s="3"/>
      <c r="AA653" s="3"/>
      <c r="AB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4"/>
      <c r="X654" s="3"/>
      <c r="Y654" s="3"/>
      <c r="Z654" s="3"/>
      <c r="AA654" s="3"/>
      <c r="AB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4"/>
      <c r="X655" s="3"/>
      <c r="Y655" s="3"/>
      <c r="Z655" s="3"/>
      <c r="AA655" s="3"/>
      <c r="AB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4"/>
      <c r="X656" s="3"/>
      <c r="Y656" s="3"/>
      <c r="Z656" s="3"/>
      <c r="AA656" s="3"/>
      <c r="AB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4"/>
      <c r="X657" s="3"/>
      <c r="Y657" s="3"/>
      <c r="Z657" s="3"/>
      <c r="AA657" s="3"/>
      <c r="AB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4"/>
      <c r="X658" s="3"/>
      <c r="Y658" s="3"/>
      <c r="Z658" s="3"/>
      <c r="AA658" s="3"/>
      <c r="AB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4"/>
      <c r="X659" s="3"/>
      <c r="Y659" s="3"/>
      <c r="Z659" s="3"/>
      <c r="AA659" s="3"/>
      <c r="AB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4"/>
      <c r="X660" s="3"/>
      <c r="Y660" s="3"/>
      <c r="Z660" s="3"/>
      <c r="AA660" s="3"/>
      <c r="AB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4"/>
      <c r="X661" s="3"/>
      <c r="Y661" s="3"/>
      <c r="Z661" s="3"/>
      <c r="AA661" s="3"/>
      <c r="AB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4"/>
      <c r="X662" s="3"/>
      <c r="Y662" s="3"/>
      <c r="Z662" s="3"/>
      <c r="AA662" s="3"/>
      <c r="AB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4"/>
      <c r="X663" s="3"/>
      <c r="Y663" s="3"/>
      <c r="Z663" s="3"/>
      <c r="AA663" s="3"/>
      <c r="AB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4"/>
      <c r="X664" s="3"/>
      <c r="Y664" s="3"/>
      <c r="Z664" s="3"/>
      <c r="AA664" s="3"/>
      <c r="AB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4"/>
      <c r="X665" s="3"/>
      <c r="Y665" s="3"/>
      <c r="Z665" s="3"/>
      <c r="AA665" s="3"/>
      <c r="AB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4"/>
      <c r="X666" s="3"/>
      <c r="Y666" s="3"/>
      <c r="Z666" s="3"/>
      <c r="AA666" s="3"/>
      <c r="AB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4"/>
      <c r="X667" s="3"/>
      <c r="Y667" s="3"/>
      <c r="Z667" s="3"/>
      <c r="AA667" s="3"/>
      <c r="AB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4"/>
      <c r="X668" s="3"/>
      <c r="Y668" s="3"/>
      <c r="Z668" s="3"/>
      <c r="AA668" s="3"/>
      <c r="AB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4"/>
      <c r="X669" s="3"/>
      <c r="Y669" s="3"/>
      <c r="Z669" s="3"/>
      <c r="AA669" s="3"/>
      <c r="AB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4"/>
      <c r="X670" s="3"/>
      <c r="Y670" s="3"/>
      <c r="Z670" s="3"/>
      <c r="AA670" s="3"/>
      <c r="AB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4"/>
      <c r="X671" s="3"/>
      <c r="Y671" s="3"/>
      <c r="Z671" s="3"/>
      <c r="AA671" s="3"/>
      <c r="AB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4"/>
      <c r="X672" s="3"/>
      <c r="Y672" s="3"/>
      <c r="Z672" s="3"/>
      <c r="AA672" s="3"/>
      <c r="AB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4"/>
      <c r="X673" s="3"/>
      <c r="Y673" s="3"/>
      <c r="Z673" s="3"/>
      <c r="AA673" s="3"/>
      <c r="AB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4"/>
      <c r="X674" s="3"/>
      <c r="Y674" s="3"/>
      <c r="Z674" s="3"/>
      <c r="AA674" s="3"/>
      <c r="AB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4"/>
      <c r="X675" s="3"/>
      <c r="Y675" s="3"/>
      <c r="Z675" s="3"/>
      <c r="AA675" s="3"/>
      <c r="AB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4"/>
      <c r="X676" s="3"/>
      <c r="Y676" s="3"/>
      <c r="Z676" s="3"/>
      <c r="AA676" s="3"/>
      <c r="AB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4"/>
      <c r="X677" s="3"/>
      <c r="Y677" s="3"/>
      <c r="Z677" s="3"/>
      <c r="AA677" s="3"/>
      <c r="AB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4"/>
      <c r="X678" s="3"/>
      <c r="Y678" s="3"/>
      <c r="Z678" s="3"/>
      <c r="AA678" s="3"/>
      <c r="AB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4"/>
      <c r="X679" s="3"/>
      <c r="Y679" s="3"/>
      <c r="Z679" s="3"/>
      <c r="AA679" s="3"/>
      <c r="AB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4"/>
      <c r="X680" s="3"/>
      <c r="Y680" s="3"/>
      <c r="Z680" s="3"/>
      <c r="AA680" s="3"/>
      <c r="AB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4"/>
      <c r="X681" s="3"/>
      <c r="Y681" s="3"/>
      <c r="Z681" s="3"/>
      <c r="AA681" s="3"/>
      <c r="AB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4"/>
      <c r="X682" s="3"/>
      <c r="Y682" s="3"/>
      <c r="Z682" s="3"/>
      <c r="AA682" s="3"/>
      <c r="AB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4"/>
      <c r="X683" s="3"/>
      <c r="Y683" s="3"/>
      <c r="Z683" s="3"/>
      <c r="AA683" s="3"/>
      <c r="AB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4"/>
      <c r="X684" s="3"/>
      <c r="Y684" s="3"/>
      <c r="Z684" s="3"/>
      <c r="AA684" s="3"/>
      <c r="AB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4"/>
      <c r="X685" s="3"/>
      <c r="Y685" s="3"/>
      <c r="Z685" s="3"/>
      <c r="AA685" s="3"/>
      <c r="AB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4"/>
      <c r="X686" s="3"/>
      <c r="Y686" s="3"/>
      <c r="Z686" s="3"/>
      <c r="AA686" s="3"/>
      <c r="AB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4"/>
      <c r="X687" s="3"/>
      <c r="Y687" s="3"/>
      <c r="Z687" s="3"/>
      <c r="AA687" s="3"/>
      <c r="AB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4"/>
      <c r="X688" s="3"/>
      <c r="Y688" s="3"/>
      <c r="Z688" s="3"/>
      <c r="AA688" s="3"/>
      <c r="AB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4"/>
      <c r="X689" s="3"/>
      <c r="Y689" s="3"/>
      <c r="Z689" s="3"/>
      <c r="AA689" s="3"/>
      <c r="AB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4"/>
      <c r="X690" s="3"/>
      <c r="Y690" s="3"/>
      <c r="Z690" s="3"/>
      <c r="AA690" s="3"/>
      <c r="AB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4"/>
      <c r="X691" s="3"/>
      <c r="Y691" s="3"/>
      <c r="Z691" s="3"/>
      <c r="AA691" s="3"/>
      <c r="AB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4"/>
      <c r="X692" s="3"/>
      <c r="Y692" s="3"/>
      <c r="Z692" s="3"/>
      <c r="AA692" s="3"/>
      <c r="AB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4"/>
      <c r="X693" s="3"/>
      <c r="Y693" s="3"/>
      <c r="Z693" s="3"/>
      <c r="AA693" s="3"/>
      <c r="AB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4"/>
      <c r="X694" s="3"/>
      <c r="Y694" s="3"/>
      <c r="Z694" s="3"/>
      <c r="AA694" s="3"/>
      <c r="AB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4"/>
      <c r="X695" s="3"/>
      <c r="Y695" s="3"/>
      <c r="Z695" s="3"/>
      <c r="AA695" s="3"/>
      <c r="AB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4"/>
      <c r="X696" s="3"/>
      <c r="Y696" s="3"/>
      <c r="Z696" s="3"/>
      <c r="AA696" s="3"/>
      <c r="AB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4"/>
      <c r="X697" s="3"/>
      <c r="Y697" s="3"/>
      <c r="Z697" s="3"/>
      <c r="AA697" s="3"/>
      <c r="AB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4"/>
      <c r="X698" s="3"/>
      <c r="Y698" s="3"/>
      <c r="Z698" s="3"/>
      <c r="AA698" s="3"/>
      <c r="AB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4"/>
      <c r="X699" s="3"/>
      <c r="Y699" s="3"/>
      <c r="Z699" s="3"/>
      <c r="AA699" s="3"/>
      <c r="AB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4"/>
      <c r="X700" s="3"/>
      <c r="Y700" s="3"/>
      <c r="Z700" s="3"/>
      <c r="AA700" s="3"/>
      <c r="AB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4"/>
      <c r="X701" s="3"/>
      <c r="Y701" s="3"/>
      <c r="Z701" s="3"/>
      <c r="AA701" s="3"/>
      <c r="AB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4"/>
      <c r="X702" s="3"/>
      <c r="Y702" s="3"/>
      <c r="Z702" s="3"/>
      <c r="AA702" s="3"/>
      <c r="AB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4"/>
      <c r="X703" s="3"/>
      <c r="Y703" s="3"/>
      <c r="Z703" s="3"/>
      <c r="AA703" s="3"/>
      <c r="AB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4"/>
      <c r="X704" s="3"/>
      <c r="Y704" s="3"/>
      <c r="Z704" s="3"/>
      <c r="AA704" s="3"/>
      <c r="AB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4"/>
      <c r="X705" s="3"/>
      <c r="Y705" s="3"/>
      <c r="Z705" s="3"/>
      <c r="AA705" s="3"/>
      <c r="AB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4"/>
      <c r="X706" s="3"/>
      <c r="Y706" s="3"/>
      <c r="Z706" s="3"/>
      <c r="AA706" s="3"/>
      <c r="AB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4"/>
      <c r="X707" s="3"/>
      <c r="Y707" s="3"/>
      <c r="Z707" s="3"/>
      <c r="AA707" s="3"/>
      <c r="AB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4"/>
      <c r="X708" s="3"/>
      <c r="Y708" s="3"/>
      <c r="Z708" s="3"/>
      <c r="AA708" s="3"/>
      <c r="AB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4"/>
      <c r="X709" s="3"/>
      <c r="Y709" s="3"/>
      <c r="Z709" s="3"/>
      <c r="AA709" s="3"/>
      <c r="AB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4"/>
      <c r="X710" s="3"/>
      <c r="Y710" s="3"/>
      <c r="Z710" s="3"/>
      <c r="AA710" s="3"/>
      <c r="AB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4"/>
      <c r="X711" s="3"/>
      <c r="Y711" s="3"/>
      <c r="Z711" s="3"/>
      <c r="AA711" s="3"/>
      <c r="AB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4"/>
      <c r="X712" s="3"/>
      <c r="Y712" s="3"/>
      <c r="Z712" s="3"/>
      <c r="AA712" s="3"/>
      <c r="AB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4"/>
      <c r="X713" s="3"/>
      <c r="Y713" s="3"/>
      <c r="Z713" s="3"/>
      <c r="AA713" s="3"/>
      <c r="AB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4"/>
      <c r="X714" s="3"/>
      <c r="Y714" s="3"/>
      <c r="Z714" s="3"/>
      <c r="AA714" s="3"/>
      <c r="AB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4"/>
      <c r="X715" s="3"/>
      <c r="Y715" s="3"/>
      <c r="Z715" s="3"/>
      <c r="AA715" s="3"/>
      <c r="AB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4"/>
      <c r="X716" s="3"/>
      <c r="Y716" s="3"/>
      <c r="Z716" s="3"/>
      <c r="AA716" s="3"/>
      <c r="AB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4"/>
      <c r="X717" s="3"/>
      <c r="Y717" s="3"/>
      <c r="Z717" s="3"/>
      <c r="AA717" s="3"/>
      <c r="AB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4"/>
      <c r="X718" s="3"/>
      <c r="Y718" s="3"/>
      <c r="Z718" s="3"/>
      <c r="AA718" s="3"/>
      <c r="AB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4"/>
      <c r="X719" s="3"/>
      <c r="Y719" s="3"/>
      <c r="Z719" s="3"/>
      <c r="AA719" s="3"/>
      <c r="AB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4"/>
      <c r="X720" s="3"/>
      <c r="Y720" s="3"/>
      <c r="Z720" s="3"/>
      <c r="AA720" s="3"/>
      <c r="AB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4"/>
      <c r="X721" s="3"/>
      <c r="Y721" s="3"/>
      <c r="Z721" s="3"/>
      <c r="AA721" s="3"/>
      <c r="AB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4"/>
      <c r="X722" s="3"/>
      <c r="Y722" s="3"/>
      <c r="Z722" s="3"/>
      <c r="AA722" s="3"/>
      <c r="AB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4"/>
      <c r="X723" s="3"/>
      <c r="Y723" s="3"/>
      <c r="Z723" s="3"/>
      <c r="AA723" s="3"/>
      <c r="AB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4"/>
      <c r="X724" s="3"/>
      <c r="Y724" s="3"/>
      <c r="Z724" s="3"/>
      <c r="AA724" s="3"/>
      <c r="AB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4"/>
      <c r="X725" s="3"/>
      <c r="Y725" s="3"/>
      <c r="Z725" s="3"/>
      <c r="AA725" s="3"/>
      <c r="AB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4"/>
      <c r="X726" s="3"/>
      <c r="Y726" s="3"/>
      <c r="Z726" s="3"/>
      <c r="AA726" s="3"/>
      <c r="AB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4"/>
      <c r="X727" s="3"/>
      <c r="Y727" s="3"/>
      <c r="Z727" s="3"/>
      <c r="AA727" s="3"/>
      <c r="AB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4"/>
      <c r="X728" s="3"/>
      <c r="Y728" s="3"/>
      <c r="Z728" s="3"/>
      <c r="AA728" s="3"/>
      <c r="AB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4"/>
      <c r="X729" s="3"/>
      <c r="Y729" s="3"/>
      <c r="Z729" s="3"/>
      <c r="AA729" s="3"/>
      <c r="AB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4"/>
      <c r="X730" s="3"/>
      <c r="Y730" s="3"/>
      <c r="Z730" s="3"/>
      <c r="AA730" s="3"/>
      <c r="AB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4"/>
      <c r="X731" s="3"/>
      <c r="Y731" s="3"/>
      <c r="Z731" s="3"/>
      <c r="AA731" s="3"/>
      <c r="AB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4"/>
      <c r="X732" s="3"/>
      <c r="Y732" s="3"/>
      <c r="Z732" s="3"/>
      <c r="AA732" s="3"/>
      <c r="AB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4"/>
      <c r="X733" s="3"/>
      <c r="Y733" s="3"/>
      <c r="Z733" s="3"/>
      <c r="AA733" s="3"/>
      <c r="AB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4"/>
      <c r="X734" s="3"/>
      <c r="Y734" s="3"/>
      <c r="Z734" s="3"/>
      <c r="AA734" s="3"/>
      <c r="AB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4"/>
      <c r="X735" s="3"/>
      <c r="Y735" s="3"/>
      <c r="Z735" s="3"/>
      <c r="AA735" s="3"/>
      <c r="AB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4"/>
      <c r="X736" s="3"/>
      <c r="Y736" s="3"/>
      <c r="Z736" s="3"/>
      <c r="AA736" s="3"/>
      <c r="AB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4"/>
      <c r="X737" s="3"/>
      <c r="Y737" s="3"/>
      <c r="Z737" s="3"/>
      <c r="AA737" s="3"/>
      <c r="AB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4"/>
      <c r="X738" s="3"/>
      <c r="Y738" s="3"/>
      <c r="Z738" s="3"/>
      <c r="AA738" s="3"/>
      <c r="AB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4"/>
      <c r="X739" s="3"/>
      <c r="Y739" s="3"/>
      <c r="Z739" s="3"/>
      <c r="AA739" s="3"/>
      <c r="AB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4"/>
      <c r="X740" s="3"/>
      <c r="Y740" s="3"/>
      <c r="Z740" s="3"/>
      <c r="AA740" s="3"/>
      <c r="AB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4"/>
      <c r="X741" s="3"/>
      <c r="Y741" s="3"/>
      <c r="Z741" s="3"/>
      <c r="AA741" s="3"/>
      <c r="AB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4"/>
      <c r="X742" s="3"/>
      <c r="Y742" s="3"/>
      <c r="Z742" s="3"/>
      <c r="AA742" s="3"/>
      <c r="AB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4"/>
      <c r="X743" s="3"/>
      <c r="Y743" s="3"/>
      <c r="Z743" s="3"/>
      <c r="AA743" s="3"/>
      <c r="AB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4"/>
      <c r="X744" s="3"/>
      <c r="Y744" s="3"/>
      <c r="Z744" s="3"/>
      <c r="AA744" s="3"/>
      <c r="AB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4"/>
      <c r="X745" s="3"/>
      <c r="Y745" s="3"/>
      <c r="Z745" s="3"/>
      <c r="AA745" s="3"/>
      <c r="AB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4"/>
      <c r="X746" s="3"/>
      <c r="Y746" s="3"/>
      <c r="Z746" s="3"/>
      <c r="AA746" s="3"/>
      <c r="AB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4"/>
      <c r="X747" s="3"/>
      <c r="Y747" s="3"/>
      <c r="Z747" s="3"/>
      <c r="AA747" s="3"/>
      <c r="AB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4"/>
      <c r="X748" s="3"/>
      <c r="Y748" s="3"/>
      <c r="Z748" s="3"/>
      <c r="AA748" s="3"/>
      <c r="AB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4"/>
      <c r="X749" s="3"/>
      <c r="Y749" s="3"/>
      <c r="Z749" s="3"/>
      <c r="AA749" s="3"/>
      <c r="AB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4"/>
      <c r="X750" s="3"/>
      <c r="Y750" s="3"/>
      <c r="Z750" s="3"/>
      <c r="AA750" s="3"/>
      <c r="AB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4"/>
      <c r="X751" s="3"/>
      <c r="Y751" s="3"/>
      <c r="Z751" s="3"/>
      <c r="AA751" s="3"/>
      <c r="AB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4"/>
      <c r="X752" s="3"/>
      <c r="Y752" s="3"/>
      <c r="Z752" s="3"/>
      <c r="AA752" s="3"/>
      <c r="AB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4"/>
      <c r="X753" s="3"/>
      <c r="Y753" s="3"/>
      <c r="Z753" s="3"/>
      <c r="AA753" s="3"/>
      <c r="AB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4"/>
      <c r="X754" s="3"/>
      <c r="Y754" s="3"/>
      <c r="Z754" s="3"/>
      <c r="AA754" s="3"/>
      <c r="AB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4"/>
      <c r="X755" s="3"/>
      <c r="Y755" s="3"/>
      <c r="Z755" s="3"/>
      <c r="AA755" s="3"/>
      <c r="AB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4"/>
      <c r="X756" s="3"/>
      <c r="Y756" s="3"/>
      <c r="Z756" s="3"/>
      <c r="AA756" s="3"/>
      <c r="AB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4"/>
      <c r="X757" s="3"/>
      <c r="Y757" s="3"/>
      <c r="Z757" s="3"/>
      <c r="AA757" s="3"/>
      <c r="AB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4"/>
      <c r="X758" s="3"/>
      <c r="Y758" s="3"/>
      <c r="Z758" s="3"/>
      <c r="AA758" s="3"/>
      <c r="AB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4"/>
      <c r="X759" s="3"/>
      <c r="Y759" s="3"/>
      <c r="Z759" s="3"/>
      <c r="AA759" s="3"/>
      <c r="AB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4"/>
      <c r="X760" s="3"/>
      <c r="Y760" s="3"/>
      <c r="Z760" s="3"/>
      <c r="AA760" s="3"/>
      <c r="AB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4"/>
      <c r="X761" s="3"/>
      <c r="Y761" s="3"/>
      <c r="Z761" s="3"/>
      <c r="AA761" s="3"/>
      <c r="AB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4"/>
      <c r="X762" s="3"/>
      <c r="Y762" s="3"/>
      <c r="Z762" s="3"/>
      <c r="AA762" s="3"/>
      <c r="AB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4"/>
      <c r="X763" s="3"/>
      <c r="Y763" s="3"/>
      <c r="Z763" s="3"/>
      <c r="AA763" s="3"/>
      <c r="AB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4"/>
      <c r="X764" s="3"/>
      <c r="Y764" s="3"/>
      <c r="Z764" s="3"/>
      <c r="AA764" s="3"/>
      <c r="AB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4"/>
      <c r="X765" s="3"/>
      <c r="Y765" s="3"/>
      <c r="Z765" s="3"/>
      <c r="AA765" s="3"/>
      <c r="AB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4"/>
      <c r="X766" s="3"/>
      <c r="Y766" s="3"/>
      <c r="Z766" s="3"/>
      <c r="AA766" s="3"/>
      <c r="AB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4"/>
      <c r="X767" s="3"/>
      <c r="Y767" s="3"/>
      <c r="Z767" s="3"/>
      <c r="AA767" s="3"/>
      <c r="AB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4"/>
      <c r="X768" s="3"/>
      <c r="Y768" s="3"/>
      <c r="Z768" s="3"/>
      <c r="AA768" s="3"/>
      <c r="AB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4"/>
      <c r="X769" s="3"/>
      <c r="Y769" s="3"/>
      <c r="Z769" s="3"/>
      <c r="AA769" s="3"/>
      <c r="AB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4"/>
      <c r="X770" s="3"/>
      <c r="Y770" s="3"/>
      <c r="Z770" s="3"/>
      <c r="AA770" s="3"/>
      <c r="AB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4"/>
      <c r="X771" s="3"/>
      <c r="Y771" s="3"/>
      <c r="Z771" s="3"/>
      <c r="AA771" s="3"/>
      <c r="AB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4"/>
      <c r="X772" s="3"/>
      <c r="Y772" s="3"/>
      <c r="Z772" s="3"/>
      <c r="AA772" s="3"/>
      <c r="AB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4"/>
      <c r="X773" s="3"/>
      <c r="Y773" s="3"/>
      <c r="Z773" s="3"/>
      <c r="AA773" s="3"/>
      <c r="AB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4"/>
      <c r="X774" s="3"/>
      <c r="Y774" s="3"/>
      <c r="Z774" s="3"/>
      <c r="AA774" s="3"/>
      <c r="AB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4"/>
      <c r="X775" s="3"/>
      <c r="Y775" s="3"/>
      <c r="Z775" s="3"/>
      <c r="AA775" s="3"/>
      <c r="AB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4"/>
      <c r="X776" s="3"/>
      <c r="Y776" s="3"/>
      <c r="Z776" s="3"/>
      <c r="AA776" s="3"/>
      <c r="AB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4"/>
      <c r="X777" s="3"/>
      <c r="Y777" s="3"/>
      <c r="Z777" s="3"/>
      <c r="AA777" s="3"/>
      <c r="AB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4"/>
      <c r="X778" s="3"/>
      <c r="Y778" s="3"/>
      <c r="Z778" s="3"/>
      <c r="AA778" s="3"/>
      <c r="AB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4"/>
      <c r="X779" s="3"/>
      <c r="Y779" s="3"/>
      <c r="Z779" s="3"/>
      <c r="AA779" s="3"/>
      <c r="AB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4"/>
      <c r="X780" s="3"/>
      <c r="Y780" s="3"/>
      <c r="Z780" s="3"/>
      <c r="AA780" s="3"/>
      <c r="AB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4"/>
      <c r="X781" s="3"/>
      <c r="Y781" s="3"/>
      <c r="Z781" s="3"/>
      <c r="AA781" s="3"/>
      <c r="AB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4"/>
      <c r="X782" s="3"/>
      <c r="Y782" s="3"/>
      <c r="Z782" s="3"/>
      <c r="AA782" s="3"/>
      <c r="AB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4"/>
      <c r="X783" s="3"/>
      <c r="Y783" s="3"/>
      <c r="Z783" s="3"/>
      <c r="AA783" s="3"/>
      <c r="AB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4"/>
      <c r="X784" s="3"/>
      <c r="Y784" s="3"/>
      <c r="Z784" s="3"/>
      <c r="AA784" s="3"/>
      <c r="AB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4"/>
      <c r="X785" s="3"/>
      <c r="Y785" s="3"/>
      <c r="Z785" s="3"/>
      <c r="AA785" s="3"/>
      <c r="AB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4"/>
      <c r="X786" s="3"/>
      <c r="Y786" s="3"/>
      <c r="Z786" s="3"/>
      <c r="AA786" s="3"/>
      <c r="AB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4"/>
      <c r="X787" s="3"/>
      <c r="Y787" s="3"/>
      <c r="Z787" s="3"/>
      <c r="AA787" s="3"/>
      <c r="AB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4"/>
      <c r="X788" s="3"/>
      <c r="Y788" s="3"/>
      <c r="Z788" s="3"/>
      <c r="AA788" s="3"/>
      <c r="AB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4"/>
      <c r="X789" s="3"/>
      <c r="Y789" s="3"/>
      <c r="Z789" s="3"/>
      <c r="AA789" s="3"/>
      <c r="AB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4"/>
      <c r="X790" s="3"/>
      <c r="Y790" s="3"/>
      <c r="Z790" s="3"/>
      <c r="AA790" s="3"/>
      <c r="AB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4"/>
      <c r="X791" s="3"/>
      <c r="Y791" s="3"/>
      <c r="Z791" s="3"/>
      <c r="AA791" s="3"/>
      <c r="AB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4"/>
      <c r="X792" s="3"/>
      <c r="Y792" s="3"/>
      <c r="Z792" s="3"/>
      <c r="AA792" s="3"/>
      <c r="AB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4"/>
      <c r="X793" s="3"/>
      <c r="Y793" s="3"/>
      <c r="Z793" s="3"/>
      <c r="AA793" s="3"/>
      <c r="AB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4"/>
      <c r="X794" s="3"/>
      <c r="Y794" s="3"/>
      <c r="Z794" s="3"/>
      <c r="AA794" s="3"/>
      <c r="AB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4"/>
      <c r="X795" s="3"/>
      <c r="Y795" s="3"/>
      <c r="Z795" s="3"/>
      <c r="AA795" s="3"/>
      <c r="AB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4"/>
      <c r="X796" s="3"/>
      <c r="Y796" s="3"/>
      <c r="Z796" s="3"/>
      <c r="AA796" s="3"/>
      <c r="AB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4"/>
      <c r="X797" s="3"/>
      <c r="Y797" s="3"/>
      <c r="Z797" s="3"/>
      <c r="AA797" s="3"/>
      <c r="AB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4"/>
      <c r="X798" s="3"/>
      <c r="Y798" s="3"/>
      <c r="Z798" s="3"/>
      <c r="AA798" s="3"/>
      <c r="AB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4"/>
      <c r="X799" s="3"/>
      <c r="Y799" s="3"/>
      <c r="Z799" s="3"/>
      <c r="AA799" s="3"/>
      <c r="AB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4"/>
      <c r="X800" s="3"/>
      <c r="Y800" s="3"/>
      <c r="Z800" s="3"/>
      <c r="AA800" s="3"/>
      <c r="AB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4"/>
      <c r="X801" s="3"/>
      <c r="Y801" s="3"/>
      <c r="Z801" s="3"/>
      <c r="AA801" s="3"/>
      <c r="AB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4"/>
      <c r="X802" s="3"/>
      <c r="Y802" s="3"/>
      <c r="Z802" s="3"/>
      <c r="AA802" s="3"/>
      <c r="AB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4"/>
      <c r="X803" s="3"/>
      <c r="Y803" s="3"/>
      <c r="Z803" s="3"/>
      <c r="AA803" s="3"/>
      <c r="AB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4"/>
      <c r="X804" s="3"/>
      <c r="Y804" s="3"/>
      <c r="Z804" s="3"/>
      <c r="AA804" s="3"/>
      <c r="AB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4"/>
      <c r="X805" s="3"/>
      <c r="Y805" s="3"/>
      <c r="Z805" s="3"/>
      <c r="AA805" s="3"/>
      <c r="AB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4"/>
      <c r="X806" s="3"/>
      <c r="Y806" s="3"/>
      <c r="Z806" s="3"/>
      <c r="AA806" s="3"/>
      <c r="AB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4"/>
      <c r="X807" s="3"/>
      <c r="Y807" s="3"/>
      <c r="Z807" s="3"/>
      <c r="AA807" s="3"/>
      <c r="AB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4"/>
      <c r="X808" s="3"/>
      <c r="Y808" s="3"/>
      <c r="Z808" s="3"/>
      <c r="AA808" s="3"/>
      <c r="AB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4"/>
      <c r="X809" s="3"/>
      <c r="Y809" s="3"/>
      <c r="Z809" s="3"/>
      <c r="AA809" s="3"/>
      <c r="AB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4"/>
      <c r="X810" s="3"/>
      <c r="Y810" s="3"/>
      <c r="Z810" s="3"/>
      <c r="AA810" s="3"/>
      <c r="AB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4"/>
      <c r="X811" s="3"/>
      <c r="Y811" s="3"/>
      <c r="Z811" s="3"/>
      <c r="AA811" s="3"/>
      <c r="AB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4"/>
      <c r="X812" s="3"/>
      <c r="Y812" s="3"/>
      <c r="Z812" s="3"/>
      <c r="AA812" s="3"/>
      <c r="AB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4"/>
      <c r="X813" s="3"/>
      <c r="Y813" s="3"/>
      <c r="Z813" s="3"/>
      <c r="AA813" s="3"/>
      <c r="AB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4"/>
      <c r="X814" s="3"/>
      <c r="Y814" s="3"/>
      <c r="Z814" s="3"/>
      <c r="AA814" s="3"/>
      <c r="AB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4"/>
      <c r="X815" s="3"/>
      <c r="Y815" s="3"/>
      <c r="Z815" s="3"/>
      <c r="AA815" s="3"/>
      <c r="AB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4"/>
      <c r="X816" s="3"/>
      <c r="Y816" s="3"/>
      <c r="Z816" s="3"/>
      <c r="AA816" s="3"/>
      <c r="AB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4"/>
      <c r="X817" s="3"/>
      <c r="Y817" s="3"/>
      <c r="Z817" s="3"/>
      <c r="AA817" s="3"/>
      <c r="AB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4"/>
      <c r="X818" s="3"/>
      <c r="Y818" s="3"/>
      <c r="Z818" s="3"/>
      <c r="AA818" s="3"/>
      <c r="AB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4"/>
      <c r="X819" s="3"/>
      <c r="Y819" s="3"/>
      <c r="Z819" s="3"/>
      <c r="AA819" s="3"/>
      <c r="AB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4"/>
      <c r="X820" s="3"/>
      <c r="Y820" s="3"/>
      <c r="Z820" s="3"/>
      <c r="AA820" s="3"/>
      <c r="AB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4"/>
      <c r="X821" s="3"/>
      <c r="Y821" s="3"/>
      <c r="Z821" s="3"/>
      <c r="AA821" s="3"/>
      <c r="AB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4"/>
      <c r="X822" s="3"/>
      <c r="Y822" s="3"/>
      <c r="Z822" s="3"/>
      <c r="AA822" s="3"/>
      <c r="AB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4"/>
      <c r="X823" s="3"/>
      <c r="Y823" s="3"/>
      <c r="Z823" s="3"/>
      <c r="AA823" s="3"/>
      <c r="AB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4"/>
      <c r="X824" s="3"/>
      <c r="Y824" s="3"/>
      <c r="Z824" s="3"/>
      <c r="AA824" s="3"/>
      <c r="AB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4"/>
      <c r="X825" s="3"/>
      <c r="Y825" s="3"/>
      <c r="Z825" s="3"/>
      <c r="AA825" s="3"/>
      <c r="AB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4"/>
      <c r="X826" s="3"/>
      <c r="Y826" s="3"/>
      <c r="Z826" s="3"/>
      <c r="AA826" s="3"/>
      <c r="AB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4"/>
      <c r="X827" s="3"/>
      <c r="Y827" s="3"/>
      <c r="Z827" s="3"/>
      <c r="AA827" s="3"/>
      <c r="AB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4"/>
      <c r="X828" s="3"/>
      <c r="Y828" s="3"/>
      <c r="Z828" s="3"/>
      <c r="AA828" s="3"/>
      <c r="AB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4"/>
      <c r="X829" s="3"/>
      <c r="Y829" s="3"/>
      <c r="Z829" s="3"/>
      <c r="AA829" s="3"/>
      <c r="AB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4"/>
      <c r="X830" s="3"/>
      <c r="Y830" s="3"/>
      <c r="Z830" s="3"/>
      <c r="AA830" s="3"/>
      <c r="AB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4"/>
      <c r="X831" s="3"/>
      <c r="Y831" s="3"/>
      <c r="Z831" s="3"/>
      <c r="AA831" s="3"/>
      <c r="AB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4"/>
      <c r="X832" s="3"/>
      <c r="Y832" s="3"/>
      <c r="Z832" s="3"/>
      <c r="AA832" s="3"/>
      <c r="AB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4"/>
      <c r="X833" s="3"/>
      <c r="Y833" s="3"/>
      <c r="Z833" s="3"/>
      <c r="AA833" s="3"/>
      <c r="AB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4"/>
      <c r="X834" s="3"/>
      <c r="Y834" s="3"/>
      <c r="Z834" s="3"/>
      <c r="AA834" s="3"/>
      <c r="AB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4"/>
      <c r="X835" s="3"/>
      <c r="Y835" s="3"/>
      <c r="Z835" s="3"/>
      <c r="AA835" s="3"/>
      <c r="AB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4"/>
      <c r="X836" s="3"/>
      <c r="Y836" s="3"/>
      <c r="Z836" s="3"/>
      <c r="AA836" s="3"/>
      <c r="AB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4"/>
      <c r="X837" s="3"/>
      <c r="Y837" s="3"/>
      <c r="Z837" s="3"/>
      <c r="AA837" s="3"/>
      <c r="AB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4"/>
      <c r="X838" s="3"/>
      <c r="Y838" s="3"/>
      <c r="Z838" s="3"/>
      <c r="AA838" s="3"/>
      <c r="AB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4"/>
      <c r="X839" s="3"/>
      <c r="Y839" s="3"/>
      <c r="Z839" s="3"/>
      <c r="AA839" s="3"/>
      <c r="AB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4"/>
      <c r="X840" s="3"/>
      <c r="Y840" s="3"/>
      <c r="Z840" s="3"/>
      <c r="AA840" s="3"/>
      <c r="AB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4"/>
      <c r="X841" s="3"/>
      <c r="Y841" s="3"/>
      <c r="Z841" s="3"/>
      <c r="AA841" s="3"/>
      <c r="AB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4"/>
      <c r="X842" s="3"/>
      <c r="Y842" s="3"/>
      <c r="Z842" s="3"/>
      <c r="AA842" s="3"/>
      <c r="AB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4"/>
      <c r="X843" s="3"/>
      <c r="Y843" s="3"/>
      <c r="Z843" s="3"/>
      <c r="AA843" s="3"/>
      <c r="AB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4"/>
      <c r="X844" s="3"/>
      <c r="Y844" s="3"/>
      <c r="Z844" s="3"/>
      <c r="AA844" s="3"/>
      <c r="AB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4"/>
      <c r="X845" s="3"/>
      <c r="Y845" s="3"/>
      <c r="Z845" s="3"/>
      <c r="AA845" s="3"/>
      <c r="AB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4"/>
      <c r="X846" s="3"/>
      <c r="Y846" s="3"/>
      <c r="Z846" s="3"/>
      <c r="AA846" s="3"/>
      <c r="AB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4"/>
      <c r="X847" s="3"/>
      <c r="Y847" s="3"/>
      <c r="Z847" s="3"/>
      <c r="AA847" s="3"/>
      <c r="AB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4"/>
      <c r="X848" s="3"/>
      <c r="Y848" s="3"/>
      <c r="Z848" s="3"/>
      <c r="AA848" s="3"/>
      <c r="AB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4"/>
      <c r="X849" s="3"/>
      <c r="Y849" s="3"/>
      <c r="Z849" s="3"/>
      <c r="AA849" s="3"/>
      <c r="AB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4"/>
      <c r="X850" s="3"/>
      <c r="Y850" s="3"/>
      <c r="Z850" s="3"/>
      <c r="AA850" s="3"/>
      <c r="AB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4"/>
      <c r="X851" s="3"/>
      <c r="Y851" s="3"/>
      <c r="Z851" s="3"/>
      <c r="AA851" s="3"/>
      <c r="AB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4"/>
      <c r="X852" s="3"/>
      <c r="Y852" s="3"/>
      <c r="Z852" s="3"/>
      <c r="AA852" s="3"/>
      <c r="AB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4"/>
      <c r="X853" s="3"/>
      <c r="Y853" s="3"/>
      <c r="Z853" s="3"/>
      <c r="AA853" s="3"/>
      <c r="AB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4"/>
      <c r="X854" s="3"/>
      <c r="Y854" s="3"/>
      <c r="Z854" s="3"/>
      <c r="AA854" s="3"/>
      <c r="AB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4"/>
      <c r="X855" s="3"/>
      <c r="Y855" s="3"/>
      <c r="Z855" s="3"/>
      <c r="AA855" s="3"/>
      <c r="AB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4"/>
      <c r="X856" s="3"/>
      <c r="Y856" s="3"/>
      <c r="Z856" s="3"/>
      <c r="AA856" s="3"/>
      <c r="AB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4"/>
      <c r="X857" s="3"/>
      <c r="Y857" s="3"/>
      <c r="Z857" s="3"/>
      <c r="AA857" s="3"/>
      <c r="AB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4"/>
      <c r="X858" s="3"/>
      <c r="Y858" s="3"/>
      <c r="Z858" s="3"/>
      <c r="AA858" s="3"/>
      <c r="AB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4"/>
      <c r="X859" s="3"/>
      <c r="Y859" s="3"/>
      <c r="Z859" s="3"/>
      <c r="AA859" s="3"/>
      <c r="AB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4"/>
      <c r="X860" s="3"/>
      <c r="Y860" s="3"/>
      <c r="Z860" s="3"/>
      <c r="AA860" s="3"/>
      <c r="AB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4"/>
      <c r="X861" s="3"/>
      <c r="Y861" s="3"/>
      <c r="Z861" s="3"/>
      <c r="AA861" s="3"/>
      <c r="AB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4"/>
      <c r="X862" s="3"/>
      <c r="Y862" s="3"/>
      <c r="Z862" s="3"/>
      <c r="AA862" s="3"/>
      <c r="AB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4"/>
      <c r="X863" s="3"/>
      <c r="Y863" s="3"/>
      <c r="Z863" s="3"/>
      <c r="AA863" s="3"/>
      <c r="AB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4"/>
      <c r="X864" s="3"/>
      <c r="Y864" s="3"/>
      <c r="Z864" s="3"/>
      <c r="AA864" s="3"/>
      <c r="AB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4"/>
      <c r="X865" s="3"/>
      <c r="Y865" s="3"/>
      <c r="Z865" s="3"/>
      <c r="AA865" s="3"/>
      <c r="AB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4"/>
      <c r="X866" s="3"/>
      <c r="Y866" s="3"/>
      <c r="Z866" s="3"/>
      <c r="AA866" s="3"/>
      <c r="AB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4"/>
      <c r="X867" s="3"/>
      <c r="Y867" s="3"/>
      <c r="Z867" s="3"/>
      <c r="AA867" s="3"/>
      <c r="AB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4"/>
      <c r="X868" s="3"/>
      <c r="Y868" s="3"/>
      <c r="Z868" s="3"/>
      <c r="AA868" s="3"/>
      <c r="AB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4"/>
      <c r="X869" s="3"/>
      <c r="Y869" s="3"/>
      <c r="Z869" s="3"/>
      <c r="AA869" s="3"/>
      <c r="AB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4"/>
      <c r="X870" s="3"/>
      <c r="Y870" s="3"/>
      <c r="Z870" s="3"/>
      <c r="AA870" s="3"/>
      <c r="AB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4"/>
      <c r="X871" s="3"/>
      <c r="Y871" s="3"/>
      <c r="Z871" s="3"/>
      <c r="AA871" s="3"/>
      <c r="AB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4"/>
      <c r="X872" s="3"/>
      <c r="Y872" s="3"/>
      <c r="Z872" s="3"/>
      <c r="AA872" s="3"/>
      <c r="AB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4"/>
      <c r="X873" s="3"/>
      <c r="Y873" s="3"/>
      <c r="Z873" s="3"/>
      <c r="AA873" s="3"/>
      <c r="AB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4"/>
      <c r="X874" s="3"/>
      <c r="Y874" s="3"/>
      <c r="Z874" s="3"/>
      <c r="AA874" s="3"/>
      <c r="AB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4"/>
      <c r="X875" s="3"/>
      <c r="Y875" s="3"/>
      <c r="Z875" s="3"/>
      <c r="AA875" s="3"/>
      <c r="AB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4"/>
      <c r="X876" s="3"/>
      <c r="Y876" s="3"/>
      <c r="Z876" s="3"/>
      <c r="AA876" s="3"/>
      <c r="AB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4"/>
      <c r="X877" s="3"/>
      <c r="Y877" s="3"/>
      <c r="Z877" s="3"/>
      <c r="AA877" s="3"/>
      <c r="AB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4"/>
      <c r="X878" s="3"/>
      <c r="Y878" s="3"/>
      <c r="Z878" s="3"/>
      <c r="AA878" s="3"/>
      <c r="AB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4"/>
      <c r="X879" s="3"/>
      <c r="Y879" s="3"/>
      <c r="Z879" s="3"/>
      <c r="AA879" s="3"/>
      <c r="AB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4"/>
      <c r="X880" s="3"/>
      <c r="Y880" s="3"/>
      <c r="Z880" s="3"/>
      <c r="AA880" s="3"/>
      <c r="AB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4"/>
      <c r="X881" s="3"/>
      <c r="Y881" s="3"/>
      <c r="Z881" s="3"/>
      <c r="AA881" s="3"/>
      <c r="AB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4"/>
      <c r="X882" s="3"/>
      <c r="Y882" s="3"/>
      <c r="Z882" s="3"/>
      <c r="AA882" s="3"/>
      <c r="AB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4"/>
      <c r="X883" s="3"/>
      <c r="Y883" s="3"/>
      <c r="Z883" s="3"/>
      <c r="AA883" s="3"/>
      <c r="AB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4"/>
      <c r="X884" s="3"/>
      <c r="Y884" s="3"/>
      <c r="Z884" s="3"/>
      <c r="AA884" s="3"/>
      <c r="AB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4"/>
      <c r="X885" s="3"/>
      <c r="Y885" s="3"/>
      <c r="Z885" s="3"/>
      <c r="AA885" s="3"/>
      <c r="AB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4"/>
      <c r="X886" s="3"/>
      <c r="Y886" s="3"/>
      <c r="Z886" s="3"/>
      <c r="AA886" s="3"/>
      <c r="AB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4"/>
      <c r="X887" s="3"/>
      <c r="Y887" s="3"/>
      <c r="Z887" s="3"/>
      <c r="AA887" s="3"/>
      <c r="AB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4"/>
      <c r="X888" s="3"/>
      <c r="Y888" s="3"/>
      <c r="Z888" s="3"/>
      <c r="AA888" s="3"/>
      <c r="AB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4"/>
      <c r="X889" s="3"/>
      <c r="Y889" s="3"/>
      <c r="Z889" s="3"/>
      <c r="AA889" s="3"/>
      <c r="AB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4"/>
      <c r="X890" s="3"/>
      <c r="Y890" s="3"/>
      <c r="Z890" s="3"/>
      <c r="AA890" s="3"/>
      <c r="AB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4"/>
      <c r="X891" s="3"/>
      <c r="Y891" s="3"/>
      <c r="Z891" s="3"/>
      <c r="AA891" s="3"/>
      <c r="AB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4"/>
      <c r="X892" s="3"/>
      <c r="Y892" s="3"/>
      <c r="Z892" s="3"/>
      <c r="AA892" s="3"/>
      <c r="AB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4"/>
      <c r="X893" s="3"/>
      <c r="Y893" s="3"/>
      <c r="Z893" s="3"/>
      <c r="AA893" s="3"/>
      <c r="AB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4"/>
      <c r="X894" s="3"/>
      <c r="Y894" s="3"/>
      <c r="Z894" s="3"/>
      <c r="AA894" s="3"/>
      <c r="AB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4"/>
      <c r="X895" s="3"/>
      <c r="Y895" s="3"/>
      <c r="Z895" s="3"/>
      <c r="AA895" s="3"/>
      <c r="AB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4"/>
      <c r="X896" s="3"/>
      <c r="Y896" s="3"/>
      <c r="Z896" s="3"/>
      <c r="AA896" s="3"/>
      <c r="AB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4"/>
      <c r="X897" s="3"/>
      <c r="Y897" s="3"/>
      <c r="Z897" s="3"/>
      <c r="AA897" s="3"/>
      <c r="AB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4"/>
      <c r="X898" s="3"/>
      <c r="Y898" s="3"/>
      <c r="Z898" s="3"/>
      <c r="AA898" s="3"/>
      <c r="AB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4"/>
      <c r="X899" s="3"/>
      <c r="Y899" s="3"/>
      <c r="Z899" s="3"/>
      <c r="AA899" s="3"/>
      <c r="AB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4"/>
      <c r="X900" s="3"/>
      <c r="Y900" s="3"/>
      <c r="Z900" s="3"/>
      <c r="AA900" s="3"/>
      <c r="AB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4"/>
      <c r="X901" s="3"/>
      <c r="Y901" s="3"/>
      <c r="Z901" s="3"/>
      <c r="AA901" s="3"/>
      <c r="AB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4"/>
      <c r="X902" s="3"/>
      <c r="Y902" s="3"/>
      <c r="Z902" s="3"/>
      <c r="AA902" s="3"/>
      <c r="AB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4"/>
      <c r="X903" s="3"/>
      <c r="Y903" s="3"/>
      <c r="Z903" s="3"/>
      <c r="AA903" s="3"/>
      <c r="AB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4"/>
      <c r="X904" s="3"/>
      <c r="Y904" s="3"/>
      <c r="Z904" s="3"/>
      <c r="AA904" s="3"/>
      <c r="AB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4"/>
      <c r="X905" s="3"/>
      <c r="Y905" s="3"/>
      <c r="Z905" s="3"/>
      <c r="AA905" s="3"/>
      <c r="AB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4"/>
      <c r="X906" s="3"/>
      <c r="Y906" s="3"/>
      <c r="Z906" s="3"/>
      <c r="AA906" s="3"/>
      <c r="AB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4"/>
      <c r="X907" s="3"/>
      <c r="Y907" s="3"/>
      <c r="Z907" s="3"/>
      <c r="AA907" s="3"/>
      <c r="AB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4"/>
      <c r="X908" s="3"/>
      <c r="Y908" s="3"/>
      <c r="Z908" s="3"/>
      <c r="AA908" s="3"/>
      <c r="AB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4"/>
      <c r="X909" s="3"/>
      <c r="Y909" s="3"/>
      <c r="Z909" s="3"/>
      <c r="AA909" s="3"/>
      <c r="AB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4"/>
      <c r="X910" s="3"/>
      <c r="Y910" s="3"/>
      <c r="Z910" s="3"/>
      <c r="AA910" s="3"/>
      <c r="AB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4"/>
      <c r="X911" s="3"/>
      <c r="Y911" s="3"/>
      <c r="Z911" s="3"/>
      <c r="AA911" s="3"/>
      <c r="AB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4"/>
      <c r="X912" s="3"/>
      <c r="Y912" s="3"/>
      <c r="Z912" s="3"/>
      <c r="AA912" s="3"/>
      <c r="AB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4"/>
      <c r="X913" s="3"/>
      <c r="Y913" s="3"/>
      <c r="Z913" s="3"/>
      <c r="AA913" s="3"/>
      <c r="AB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4"/>
      <c r="X914" s="3"/>
      <c r="Y914" s="3"/>
      <c r="Z914" s="3"/>
      <c r="AA914" s="3"/>
      <c r="AB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4"/>
      <c r="X915" s="3"/>
      <c r="Y915" s="3"/>
      <c r="Z915" s="3"/>
      <c r="AA915" s="3"/>
      <c r="AB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4"/>
      <c r="X916" s="3"/>
      <c r="Y916" s="3"/>
      <c r="Z916" s="3"/>
      <c r="AA916" s="3"/>
      <c r="AB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4"/>
      <c r="X917" s="3"/>
      <c r="Y917" s="3"/>
      <c r="Z917" s="3"/>
      <c r="AA917" s="3"/>
      <c r="AB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4"/>
      <c r="X918" s="3"/>
      <c r="Y918" s="3"/>
      <c r="Z918" s="3"/>
      <c r="AA918" s="3"/>
      <c r="AB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4"/>
      <c r="X919" s="3"/>
      <c r="Y919" s="3"/>
      <c r="Z919" s="3"/>
      <c r="AA919" s="3"/>
      <c r="AB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4"/>
      <c r="X920" s="3"/>
      <c r="Y920" s="3"/>
      <c r="Z920" s="3"/>
      <c r="AA920" s="3"/>
      <c r="AB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4"/>
      <c r="X921" s="3"/>
      <c r="Y921" s="3"/>
      <c r="Z921" s="3"/>
      <c r="AA921" s="3"/>
      <c r="AB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4"/>
      <c r="X922" s="3"/>
      <c r="Y922" s="3"/>
      <c r="Z922" s="3"/>
      <c r="AA922" s="3"/>
      <c r="AB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4"/>
      <c r="X923" s="3"/>
      <c r="Y923" s="3"/>
      <c r="Z923" s="3"/>
      <c r="AA923" s="3"/>
      <c r="AB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4"/>
      <c r="X924" s="3"/>
      <c r="Y924" s="3"/>
      <c r="Z924" s="3"/>
      <c r="AA924" s="3"/>
      <c r="AB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4"/>
      <c r="X925" s="3"/>
      <c r="Y925" s="3"/>
      <c r="Z925" s="3"/>
      <c r="AA925" s="3"/>
      <c r="AB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4"/>
      <c r="X926" s="3"/>
      <c r="Y926" s="3"/>
      <c r="Z926" s="3"/>
      <c r="AA926" s="3"/>
      <c r="AB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4"/>
      <c r="X927" s="3"/>
      <c r="Y927" s="3"/>
      <c r="Z927" s="3"/>
      <c r="AA927" s="3"/>
      <c r="AB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4"/>
      <c r="X928" s="3"/>
      <c r="Y928" s="3"/>
      <c r="Z928" s="3"/>
      <c r="AA928" s="3"/>
      <c r="AB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4"/>
      <c r="X929" s="3"/>
      <c r="Y929" s="3"/>
      <c r="Z929" s="3"/>
      <c r="AA929" s="3"/>
      <c r="AB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4"/>
      <c r="X930" s="3"/>
      <c r="Y930" s="3"/>
      <c r="Z930" s="3"/>
      <c r="AA930" s="3"/>
      <c r="AB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4"/>
      <c r="X931" s="3"/>
      <c r="Y931" s="3"/>
      <c r="Z931" s="3"/>
      <c r="AA931" s="3"/>
      <c r="AB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4"/>
      <c r="X932" s="3"/>
      <c r="Y932" s="3"/>
      <c r="Z932" s="3"/>
      <c r="AA932" s="3"/>
      <c r="AB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4"/>
      <c r="X933" s="3"/>
      <c r="Y933" s="3"/>
      <c r="Z933" s="3"/>
      <c r="AA933" s="3"/>
      <c r="AB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4"/>
      <c r="X934" s="3"/>
      <c r="Y934" s="3"/>
      <c r="Z934" s="3"/>
      <c r="AA934" s="3"/>
      <c r="AB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4"/>
      <c r="X935" s="3"/>
      <c r="Y935" s="3"/>
      <c r="Z935" s="3"/>
      <c r="AA935" s="3"/>
      <c r="AB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4"/>
      <c r="X936" s="3"/>
      <c r="Y936" s="3"/>
      <c r="Z936" s="3"/>
      <c r="AA936" s="3"/>
      <c r="AB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4"/>
      <c r="X937" s="3"/>
      <c r="Y937" s="3"/>
      <c r="Z937" s="3"/>
      <c r="AA937" s="3"/>
      <c r="AB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4"/>
      <c r="X938" s="3"/>
      <c r="Y938" s="3"/>
      <c r="Z938" s="3"/>
      <c r="AA938" s="3"/>
      <c r="AB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4"/>
      <c r="X939" s="3"/>
      <c r="Y939" s="3"/>
      <c r="Z939" s="3"/>
      <c r="AA939" s="3"/>
      <c r="AB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4"/>
      <c r="X940" s="3"/>
      <c r="Y940" s="3"/>
      <c r="Z940" s="3"/>
      <c r="AA940" s="3"/>
      <c r="AB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4"/>
      <c r="X941" s="3"/>
      <c r="Y941" s="3"/>
      <c r="Z941" s="3"/>
      <c r="AA941" s="3"/>
      <c r="AB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4"/>
      <c r="X942" s="3"/>
      <c r="Y942" s="3"/>
      <c r="Z942" s="3"/>
      <c r="AA942" s="3"/>
      <c r="AB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4"/>
      <c r="X943" s="3"/>
      <c r="Y943" s="3"/>
      <c r="Z943" s="3"/>
      <c r="AA943" s="3"/>
      <c r="AB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4"/>
      <c r="X944" s="3"/>
      <c r="Y944" s="3"/>
      <c r="Z944" s="3"/>
      <c r="AA944" s="3"/>
      <c r="AB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4"/>
      <c r="X945" s="3"/>
      <c r="Y945" s="3"/>
      <c r="Z945" s="3"/>
      <c r="AA945" s="3"/>
      <c r="AB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4"/>
      <c r="X946" s="3"/>
      <c r="Y946" s="3"/>
      <c r="Z946" s="3"/>
      <c r="AA946" s="3"/>
      <c r="AB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4"/>
      <c r="X947" s="3"/>
      <c r="Y947" s="3"/>
      <c r="Z947" s="3"/>
      <c r="AA947" s="3"/>
      <c r="AB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4"/>
      <c r="X948" s="3"/>
      <c r="Y948" s="3"/>
      <c r="Z948" s="3"/>
      <c r="AA948" s="3"/>
      <c r="AB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4"/>
      <c r="X949" s="3"/>
      <c r="Y949" s="3"/>
      <c r="Z949" s="3"/>
      <c r="AA949" s="3"/>
      <c r="AB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4"/>
      <c r="X950" s="3"/>
      <c r="Y950" s="3"/>
      <c r="Z950" s="3"/>
      <c r="AA950" s="3"/>
      <c r="AB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4"/>
      <c r="X951" s="3"/>
      <c r="Y951" s="3"/>
      <c r="Z951" s="3"/>
      <c r="AA951" s="3"/>
      <c r="AB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4"/>
      <c r="X952" s="3"/>
      <c r="Y952" s="3"/>
      <c r="Z952" s="3"/>
      <c r="AA952" s="3"/>
      <c r="AB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4"/>
      <c r="X953" s="3"/>
      <c r="Y953" s="3"/>
      <c r="Z953" s="3"/>
      <c r="AA953" s="3"/>
      <c r="AB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4"/>
      <c r="X954" s="3"/>
      <c r="Y954" s="3"/>
      <c r="Z954" s="3"/>
      <c r="AA954" s="3"/>
      <c r="AB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4"/>
      <c r="X955" s="3"/>
      <c r="Y955" s="3"/>
      <c r="Z955" s="3"/>
      <c r="AA955" s="3"/>
      <c r="AB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4"/>
      <c r="X956" s="3"/>
      <c r="Y956" s="3"/>
      <c r="Z956" s="3"/>
      <c r="AA956" s="3"/>
      <c r="AB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4"/>
      <c r="X957" s="3"/>
      <c r="Y957" s="3"/>
      <c r="Z957" s="3"/>
      <c r="AA957" s="3"/>
      <c r="AB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4"/>
      <c r="X958" s="3"/>
      <c r="Y958" s="3"/>
      <c r="Z958" s="3"/>
      <c r="AA958" s="3"/>
      <c r="AB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4"/>
      <c r="X959" s="3"/>
      <c r="Y959" s="3"/>
      <c r="Z959" s="3"/>
      <c r="AA959" s="3"/>
      <c r="AB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4"/>
      <c r="X960" s="3"/>
      <c r="Y960" s="3"/>
      <c r="Z960" s="3"/>
      <c r="AA960" s="3"/>
      <c r="AB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4"/>
      <c r="X961" s="3"/>
      <c r="Y961" s="3"/>
      <c r="Z961" s="3"/>
      <c r="AA961" s="3"/>
      <c r="AB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4"/>
      <c r="X962" s="3"/>
      <c r="Y962" s="3"/>
      <c r="Z962" s="3"/>
      <c r="AA962" s="3"/>
      <c r="AB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4"/>
      <c r="X963" s="3"/>
      <c r="Y963" s="3"/>
      <c r="Z963" s="3"/>
      <c r="AA963" s="3"/>
      <c r="AB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4"/>
      <c r="X964" s="3"/>
      <c r="Y964" s="3"/>
      <c r="Z964" s="3"/>
      <c r="AA964" s="3"/>
      <c r="AB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4"/>
      <c r="X965" s="3"/>
      <c r="Y965" s="3"/>
      <c r="Z965" s="3"/>
      <c r="AA965" s="3"/>
      <c r="AB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4"/>
      <c r="X966" s="3"/>
      <c r="Y966" s="3"/>
      <c r="Z966" s="3"/>
      <c r="AA966" s="3"/>
      <c r="AB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4"/>
      <c r="X967" s="3"/>
      <c r="Y967" s="3"/>
      <c r="Z967" s="3"/>
      <c r="AA967" s="3"/>
      <c r="AB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4"/>
      <c r="X968" s="3"/>
      <c r="Y968" s="3"/>
      <c r="Z968" s="3"/>
      <c r="AA968" s="3"/>
      <c r="AB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4"/>
      <c r="X969" s="3"/>
      <c r="Y969" s="3"/>
      <c r="Z969" s="3"/>
      <c r="AA969" s="3"/>
      <c r="AB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4"/>
      <c r="X970" s="3"/>
      <c r="Y970" s="3"/>
      <c r="Z970" s="3"/>
      <c r="AA970" s="3"/>
      <c r="AB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4"/>
      <c r="X971" s="3"/>
      <c r="Y971" s="3"/>
      <c r="Z971" s="3"/>
      <c r="AA971" s="3"/>
      <c r="AB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4"/>
      <c r="X972" s="3"/>
      <c r="Y972" s="3"/>
      <c r="Z972" s="3"/>
      <c r="AA972" s="3"/>
      <c r="AB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4"/>
      <c r="X973" s="3"/>
      <c r="Y973" s="3"/>
      <c r="Z973" s="3"/>
      <c r="AA973" s="3"/>
      <c r="AB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4"/>
      <c r="X974" s="3"/>
      <c r="Y974" s="3"/>
      <c r="Z974" s="3"/>
      <c r="AA974" s="3"/>
      <c r="AB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4"/>
      <c r="X975" s="3"/>
      <c r="Y975" s="3"/>
      <c r="Z975" s="3"/>
      <c r="AA975" s="3"/>
      <c r="AB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4"/>
      <c r="X976" s="3"/>
      <c r="Y976" s="3"/>
      <c r="Z976" s="3"/>
      <c r="AA976" s="3"/>
      <c r="AB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4"/>
      <c r="X977" s="3"/>
      <c r="Y977" s="3"/>
      <c r="Z977" s="3"/>
      <c r="AA977" s="3"/>
      <c r="AB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4"/>
      <c r="X978" s="3"/>
      <c r="Y978" s="3"/>
      <c r="Z978" s="3"/>
      <c r="AA978" s="3"/>
      <c r="AB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4"/>
      <c r="X979" s="3"/>
      <c r="Y979" s="3"/>
      <c r="Z979" s="3"/>
      <c r="AA979" s="3"/>
      <c r="AB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4"/>
      <c r="X980" s="3"/>
      <c r="Y980" s="3"/>
      <c r="Z980" s="3"/>
      <c r="AA980" s="3"/>
      <c r="AB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4"/>
      <c r="X981" s="3"/>
      <c r="Y981" s="3"/>
      <c r="Z981" s="3"/>
      <c r="AA981" s="3"/>
      <c r="AB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4"/>
      <c r="X982" s="3"/>
      <c r="Y982" s="3"/>
      <c r="Z982" s="3"/>
      <c r="AA982" s="3"/>
      <c r="AB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4"/>
      <c r="X983" s="3"/>
      <c r="Y983" s="3"/>
      <c r="Z983" s="3"/>
      <c r="AA983" s="3"/>
      <c r="AB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4"/>
      <c r="X984" s="3"/>
      <c r="Y984" s="3"/>
      <c r="Z984" s="3"/>
      <c r="AA984" s="3"/>
      <c r="AB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4"/>
      <c r="X985" s="3"/>
      <c r="Y985" s="3"/>
      <c r="Z985" s="3"/>
      <c r="AA985" s="3"/>
      <c r="AB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4"/>
      <c r="X986" s="3"/>
      <c r="Y986" s="3"/>
      <c r="Z986" s="3"/>
      <c r="AA986" s="3"/>
      <c r="AB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4"/>
      <c r="X987" s="3"/>
      <c r="Y987" s="3"/>
      <c r="Z987" s="3"/>
      <c r="AA987" s="3"/>
      <c r="AB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4"/>
      <c r="X988" s="3"/>
      <c r="Y988" s="3"/>
      <c r="Z988" s="3"/>
      <c r="AA988" s="3"/>
      <c r="AB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4"/>
      <c r="X989" s="3"/>
      <c r="Y989" s="3"/>
      <c r="Z989" s="3"/>
      <c r="AA989" s="3"/>
      <c r="AB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4"/>
      <c r="X990" s="3"/>
      <c r="Y990" s="3"/>
      <c r="Z990" s="3"/>
      <c r="AA990" s="3"/>
      <c r="AB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4"/>
      <c r="X991" s="3"/>
      <c r="Y991" s="3"/>
      <c r="Z991" s="3"/>
      <c r="AA991" s="3"/>
      <c r="AB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4"/>
      <c r="X992" s="3"/>
      <c r="Y992" s="3"/>
      <c r="Z992" s="3"/>
      <c r="AA992" s="3"/>
      <c r="AB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4"/>
      <c r="X993" s="3"/>
      <c r="Y993" s="3"/>
      <c r="Z993" s="3"/>
      <c r="AA993" s="3"/>
      <c r="AB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4"/>
      <c r="X994" s="3"/>
      <c r="Y994" s="3"/>
      <c r="Z994" s="3"/>
      <c r="AA994" s="3"/>
      <c r="AB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4"/>
      <c r="X995" s="3"/>
      <c r="Y995" s="3"/>
      <c r="Z995" s="3"/>
      <c r="AA995" s="3"/>
      <c r="AB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4"/>
      <c r="X996" s="3"/>
      <c r="Y996" s="3"/>
      <c r="Z996" s="3"/>
      <c r="AA996" s="3"/>
      <c r="AB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4"/>
      <c r="X997" s="3"/>
      <c r="Y997" s="3"/>
      <c r="Z997" s="3"/>
      <c r="AA997" s="3"/>
      <c r="AB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4"/>
      <c r="X998" s="3"/>
      <c r="Y998" s="3"/>
      <c r="Z998" s="3"/>
      <c r="AA998" s="3"/>
      <c r="AB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4"/>
      <c r="X999" s="3"/>
      <c r="Y999" s="3"/>
      <c r="Z999" s="3"/>
      <c r="AA999" s="3"/>
      <c r="AB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4"/>
      <c r="X1000" s="3"/>
      <c r="Y1000" s="3"/>
      <c r="Z1000" s="3"/>
      <c r="AA1000" s="3"/>
      <c r="AB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4"/>
      <c r="X1001" s="3"/>
      <c r="Y1001" s="3"/>
      <c r="Z1001" s="3"/>
      <c r="AA1001" s="3"/>
      <c r="AB1001" s="3"/>
    </row>
    <row r="100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4"/>
      <c r="X1002" s="3"/>
      <c r="Y1002" s="3"/>
      <c r="Z1002" s="3"/>
      <c r="AA1002" s="3"/>
      <c r="AB1002" s="3"/>
    </row>
    <row r="100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4"/>
      <c r="X1003" s="3"/>
      <c r="Y1003" s="3"/>
      <c r="Z1003" s="3"/>
      <c r="AA1003" s="3"/>
      <c r="AB1003" s="3"/>
    </row>
    <row r="100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4"/>
      <c r="X1004" s="3"/>
      <c r="Y1004" s="3"/>
      <c r="Z1004" s="3"/>
      <c r="AA1004" s="3"/>
      <c r="AB1004" s="3"/>
    </row>
    <row r="100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4"/>
      <c r="X1005" s="3"/>
      <c r="Y1005" s="3"/>
      <c r="Z1005" s="3"/>
      <c r="AA1005" s="3"/>
      <c r="AB1005" s="3"/>
    </row>
    <row r="1006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4"/>
      <c r="X1006" s="3"/>
      <c r="Y1006" s="3"/>
      <c r="Z1006" s="3"/>
      <c r="AA1006" s="3"/>
      <c r="AB1006" s="3"/>
    </row>
    <row r="1007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4"/>
      <c r="X1007" s="3"/>
      <c r="Y1007" s="3"/>
      <c r="Z1007" s="3"/>
      <c r="AA1007" s="3"/>
      <c r="AB1007" s="3"/>
    </row>
    <row r="1008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4"/>
      <c r="X1008" s="3"/>
      <c r="Y1008" s="3"/>
      <c r="Z1008" s="3"/>
      <c r="AA1008" s="3"/>
      <c r="AB1008" s="3"/>
    </row>
    <row r="1009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4"/>
      <c r="X1009" s="3"/>
      <c r="Y1009" s="3"/>
      <c r="Z1009" s="3"/>
      <c r="AA1009" s="3"/>
      <c r="AB1009" s="3"/>
    </row>
    <row r="1010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4"/>
      <c r="X1010" s="3"/>
      <c r="Y1010" s="3"/>
      <c r="Z1010" s="3"/>
      <c r="AA1010" s="3"/>
      <c r="AB1010" s="3"/>
    </row>
    <row r="101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4"/>
      <c r="X1011" s="3"/>
      <c r="Y1011" s="3"/>
      <c r="Z1011" s="3"/>
      <c r="AA1011" s="3"/>
      <c r="AB1011" s="3"/>
    </row>
    <row r="1012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4"/>
      <c r="X1012" s="3"/>
      <c r="Y1012" s="3"/>
      <c r="Z1012" s="3"/>
      <c r="AA1012" s="3"/>
      <c r="AB1012" s="3"/>
    </row>
  </sheetData>
  <mergeCells count="13">
    <mergeCell ref="B75:B81"/>
    <mergeCell ref="B59:B65"/>
    <mergeCell ref="B67:B73"/>
    <mergeCell ref="B51:B57"/>
    <mergeCell ref="A3:A97"/>
    <mergeCell ref="B91:B97"/>
    <mergeCell ref="B11:B17"/>
    <mergeCell ref="B3:B9"/>
    <mergeCell ref="B35:B41"/>
    <mergeCell ref="B19:B25"/>
    <mergeCell ref="B27:B33"/>
    <mergeCell ref="B43:B49"/>
    <mergeCell ref="B83:B89"/>
  </mergeCells>
  <hyperlinks>
    <hyperlink r:id="rId1" ref="C8"/>
    <hyperlink r:id="rId2" ref="D8"/>
    <hyperlink r:id="rId3" ref="E8"/>
    <hyperlink r:id="rId4" ref="F8"/>
    <hyperlink r:id="rId5" ref="G8"/>
    <hyperlink r:id="rId6" ref="H8"/>
    <hyperlink r:id="rId7" ref="I8"/>
    <hyperlink r:id="rId8" ref="J8"/>
    <hyperlink r:id="rId9" ref="K8"/>
    <hyperlink r:id="rId10" ref="L8"/>
    <hyperlink r:id="rId11" ref="M8"/>
    <hyperlink r:id="rId12" ref="N8"/>
    <hyperlink r:id="rId13" ref="O8"/>
    <hyperlink r:id="rId14" ref="P8"/>
    <hyperlink r:id="rId15" ref="Q8"/>
    <hyperlink r:id="rId16" ref="R8"/>
    <hyperlink r:id="rId17" ref="S8"/>
    <hyperlink r:id="rId18" ref="T8"/>
    <hyperlink r:id="rId19" ref="U8"/>
    <hyperlink r:id="rId20" ref="V8"/>
    <hyperlink r:id="rId21" ref="W8"/>
    <hyperlink r:id="rId22" ref="X8"/>
    <hyperlink r:id="rId23" ref="Y8"/>
    <hyperlink r:id="rId24" ref="Z8"/>
    <hyperlink r:id="rId25" ref="C16"/>
    <hyperlink r:id="rId26" ref="D16"/>
    <hyperlink r:id="rId27" ref="E16"/>
    <hyperlink r:id="rId28" ref="F16"/>
    <hyperlink r:id="rId29" ref="G16"/>
    <hyperlink r:id="rId30" ref="H16"/>
    <hyperlink r:id="rId31" ref="I16"/>
    <hyperlink r:id="rId32" ref="J16"/>
    <hyperlink r:id="rId33" ref="K16"/>
    <hyperlink r:id="rId34" ref="L16"/>
    <hyperlink r:id="rId35" ref="M16"/>
    <hyperlink r:id="rId36" ref="N16"/>
    <hyperlink r:id="rId37" ref="O16"/>
    <hyperlink r:id="rId38" ref="P16"/>
    <hyperlink r:id="rId39" ref="Q16"/>
    <hyperlink r:id="rId40" ref="R16"/>
    <hyperlink r:id="rId41" ref="S16"/>
    <hyperlink r:id="rId42" ref="T16"/>
    <hyperlink r:id="rId43" ref="U16"/>
    <hyperlink r:id="rId44" ref="V16"/>
    <hyperlink r:id="rId45" ref="W16"/>
    <hyperlink r:id="rId46" ref="X16"/>
    <hyperlink r:id="rId47" ref="Y16"/>
    <hyperlink r:id="rId48" ref="Z16"/>
    <hyperlink r:id="rId49" ref="C24"/>
    <hyperlink r:id="rId50" ref="D24"/>
    <hyperlink r:id="rId51" ref="E24"/>
    <hyperlink r:id="rId52" ref="F24"/>
    <hyperlink r:id="rId53" ref="G24"/>
    <hyperlink r:id="rId54" ref="H24"/>
    <hyperlink r:id="rId55" ref="I24"/>
    <hyperlink r:id="rId56" ref="J24"/>
    <hyperlink r:id="rId57" ref="K24"/>
    <hyperlink r:id="rId58" ref="L24"/>
    <hyperlink r:id="rId59" ref="M24"/>
    <hyperlink r:id="rId60" ref="N24"/>
    <hyperlink r:id="rId61" ref="O24"/>
    <hyperlink r:id="rId62" ref="P24"/>
    <hyperlink r:id="rId63" ref="Q24"/>
    <hyperlink r:id="rId64" ref="R24"/>
    <hyperlink r:id="rId65" ref="S24"/>
    <hyperlink r:id="rId66" ref="T24"/>
    <hyperlink r:id="rId67" ref="U24"/>
    <hyperlink r:id="rId68" ref="V24"/>
    <hyperlink r:id="rId69" ref="W24"/>
    <hyperlink r:id="rId70" ref="X24"/>
    <hyperlink r:id="rId71" ref="Y24"/>
    <hyperlink r:id="rId72" ref="Z24"/>
    <hyperlink r:id="rId73" ref="AA24"/>
    <hyperlink r:id="rId74" ref="AB24"/>
    <hyperlink r:id="rId75" ref="C32"/>
    <hyperlink r:id="rId76" ref="D32"/>
    <hyperlink r:id="rId77" ref="E32"/>
    <hyperlink r:id="rId78" ref="F32"/>
    <hyperlink r:id="rId79" ref="G32"/>
    <hyperlink r:id="rId80" ref="H32"/>
    <hyperlink r:id="rId81" ref="I32"/>
    <hyperlink r:id="rId82" ref="J32"/>
    <hyperlink r:id="rId83" ref="K32"/>
    <hyperlink r:id="rId84" ref="L32"/>
    <hyperlink r:id="rId85" ref="M32"/>
    <hyperlink r:id="rId86" ref="N32"/>
    <hyperlink r:id="rId87" ref="O32"/>
    <hyperlink r:id="rId88" ref="P32"/>
    <hyperlink r:id="rId89" ref="Q32"/>
    <hyperlink r:id="rId90" ref="R32"/>
    <hyperlink r:id="rId91" ref="S32"/>
    <hyperlink r:id="rId92" ref="T32"/>
    <hyperlink r:id="rId93" ref="U32"/>
    <hyperlink r:id="rId94" ref="V32"/>
    <hyperlink r:id="rId95" ref="C40"/>
    <hyperlink r:id="rId96" ref="D40"/>
    <hyperlink r:id="rId97" ref="E40"/>
    <hyperlink r:id="rId98" ref="F40"/>
    <hyperlink r:id="rId99" ref="G40"/>
    <hyperlink r:id="rId100" ref="H40"/>
    <hyperlink r:id="rId101" ref="I40"/>
    <hyperlink r:id="rId102" ref="J40"/>
    <hyperlink r:id="rId103" ref="K40"/>
    <hyperlink r:id="rId104" ref="L40"/>
    <hyperlink r:id="rId105" ref="M40"/>
    <hyperlink r:id="rId106" ref="N40"/>
    <hyperlink r:id="rId107" ref="O40"/>
    <hyperlink r:id="rId108" ref="P40"/>
    <hyperlink r:id="rId109" ref="Q40"/>
    <hyperlink r:id="rId110" ref="R40"/>
    <hyperlink r:id="rId111" ref="S40"/>
    <hyperlink r:id="rId112" ref="T40"/>
    <hyperlink r:id="rId113" ref="U40"/>
    <hyperlink r:id="rId114" ref="V40"/>
    <hyperlink r:id="rId115" ref="W40"/>
    <hyperlink r:id="rId116" ref="C48"/>
    <hyperlink r:id="rId117" ref="D48"/>
    <hyperlink r:id="rId118" ref="E48"/>
    <hyperlink r:id="rId119" ref="F48"/>
    <hyperlink r:id="rId120" ref="G48"/>
    <hyperlink r:id="rId121" ref="H48"/>
    <hyperlink r:id="rId122" ref="I48"/>
    <hyperlink r:id="rId123" ref="J48"/>
    <hyperlink r:id="rId124" ref="K48"/>
    <hyperlink r:id="rId125" ref="L48"/>
    <hyperlink r:id="rId126" ref="M48"/>
    <hyperlink r:id="rId127" ref="N48"/>
    <hyperlink r:id="rId128" ref="O48"/>
    <hyperlink r:id="rId129" ref="P48"/>
    <hyperlink r:id="rId130" ref="Q48"/>
    <hyperlink r:id="rId131" ref="R48"/>
    <hyperlink r:id="rId132" ref="S48"/>
    <hyperlink r:id="rId133" ref="T48"/>
    <hyperlink r:id="rId134" ref="U48"/>
    <hyperlink r:id="rId135" ref="V48"/>
    <hyperlink r:id="rId136" ref="W48"/>
    <hyperlink r:id="rId137" ref="X48"/>
    <hyperlink r:id="rId138" ref="Y48"/>
    <hyperlink r:id="rId139" ref="C56"/>
    <hyperlink r:id="rId140" ref="D56"/>
    <hyperlink r:id="rId141" ref="E56"/>
    <hyperlink r:id="rId142" ref="F56"/>
    <hyperlink r:id="rId143" ref="G56"/>
    <hyperlink r:id="rId144" ref="H56"/>
    <hyperlink r:id="rId145" ref="I56"/>
    <hyperlink r:id="rId146" ref="J56"/>
    <hyperlink r:id="rId147" ref="K56"/>
    <hyperlink r:id="rId148" ref="L56"/>
    <hyperlink r:id="rId149" ref="M56"/>
    <hyperlink r:id="rId150" ref="N56"/>
    <hyperlink r:id="rId151" ref="O56"/>
    <hyperlink r:id="rId152" ref="P56"/>
    <hyperlink r:id="rId153" ref="Q56"/>
    <hyperlink r:id="rId154" ref="R56"/>
    <hyperlink r:id="rId155" ref="S56"/>
    <hyperlink r:id="rId156" ref="T56"/>
    <hyperlink r:id="rId157" ref="U56"/>
    <hyperlink r:id="rId158" ref="V56"/>
    <hyperlink r:id="rId159" ref="D64"/>
    <hyperlink r:id="rId160" ref="E64"/>
    <hyperlink r:id="rId161" ref="F64"/>
    <hyperlink r:id="rId162" ref="G64"/>
    <hyperlink r:id="rId163" ref="H64"/>
    <hyperlink r:id="rId164" ref="I64"/>
    <hyperlink r:id="rId165" ref="J64"/>
    <hyperlink r:id="rId166" ref="K64"/>
    <hyperlink r:id="rId167" ref="L64"/>
    <hyperlink r:id="rId168" ref="M64"/>
    <hyperlink r:id="rId169" ref="N64"/>
    <hyperlink r:id="rId170" ref="O64"/>
    <hyperlink r:id="rId171" ref="P64"/>
    <hyperlink r:id="rId172" ref="Q64"/>
    <hyperlink r:id="rId173" ref="R64"/>
    <hyperlink r:id="rId174" ref="S64"/>
    <hyperlink r:id="rId175" ref="T64"/>
    <hyperlink r:id="rId176" ref="U64"/>
    <hyperlink r:id="rId177" ref="V64"/>
    <hyperlink r:id="rId178" ref="C72"/>
    <hyperlink r:id="rId179" ref="D72"/>
    <hyperlink r:id="rId180" ref="E72"/>
    <hyperlink r:id="rId181" ref="F72"/>
    <hyperlink r:id="rId182" ref="G72"/>
    <hyperlink r:id="rId183" ref="H72"/>
    <hyperlink r:id="rId184" ref="I72"/>
    <hyperlink r:id="rId185" ref="J72"/>
    <hyperlink r:id="rId186" ref="K72"/>
    <hyperlink r:id="rId187" ref="L72"/>
    <hyperlink r:id="rId188" ref="M72"/>
    <hyperlink r:id="rId189" ref="N72"/>
    <hyperlink r:id="rId190" ref="O72"/>
    <hyperlink r:id="rId191" ref="P72"/>
    <hyperlink r:id="rId192" ref="Q72"/>
    <hyperlink r:id="rId193" ref="R72"/>
    <hyperlink r:id="rId194" ref="S72"/>
    <hyperlink r:id="rId195" ref="T72"/>
    <hyperlink r:id="rId196" ref="U72"/>
    <hyperlink r:id="rId197" ref="V72"/>
    <hyperlink r:id="rId198" ref="D80"/>
    <hyperlink r:id="rId199" ref="E80"/>
    <hyperlink r:id="rId200" ref="F80"/>
    <hyperlink r:id="rId201" ref="G80"/>
    <hyperlink r:id="rId202" ref="H80"/>
    <hyperlink r:id="rId203" ref="I80"/>
    <hyperlink r:id="rId204" ref="J80"/>
    <hyperlink r:id="rId205" ref="K80"/>
    <hyperlink r:id="rId206" ref="L80"/>
    <hyperlink r:id="rId207" ref="M80"/>
    <hyperlink r:id="rId208" ref="N80"/>
    <hyperlink r:id="rId209" ref="O80"/>
    <hyperlink r:id="rId210" ref="P80"/>
    <hyperlink r:id="rId211" ref="Q80"/>
    <hyperlink r:id="rId212" ref="R80"/>
    <hyperlink r:id="rId213" ref="S80"/>
    <hyperlink r:id="rId214" ref="T80"/>
    <hyperlink r:id="rId215" ref="U80"/>
    <hyperlink r:id="rId216" ref="V80"/>
    <hyperlink r:id="rId217" ref="W80"/>
    <hyperlink r:id="rId218" ref="E88"/>
    <hyperlink r:id="rId219" ref="F88"/>
    <hyperlink r:id="rId220" ref="G88"/>
    <hyperlink r:id="rId221" ref="H88"/>
    <hyperlink r:id="rId222" ref="I88"/>
    <hyperlink r:id="rId223" ref="J88"/>
    <hyperlink r:id="rId224" ref="K88"/>
    <hyperlink r:id="rId225" ref="L88"/>
    <hyperlink r:id="rId226" ref="M88"/>
    <hyperlink r:id="rId227" ref="N88"/>
    <hyperlink r:id="rId228" ref="O88"/>
    <hyperlink r:id="rId229" ref="P88"/>
    <hyperlink r:id="rId230" ref="Q88"/>
    <hyperlink r:id="rId231" ref="R88"/>
    <hyperlink r:id="rId232" ref="S88"/>
    <hyperlink r:id="rId233" ref="T88"/>
    <hyperlink r:id="rId234" ref="U88"/>
    <hyperlink r:id="rId235" ref="V88"/>
    <hyperlink r:id="rId236" ref="C96"/>
    <hyperlink r:id="rId237" ref="D96"/>
    <hyperlink r:id="rId238" ref="E96"/>
    <hyperlink r:id="rId239" ref="F96"/>
    <hyperlink r:id="rId240" ref="G96"/>
    <hyperlink r:id="rId241" ref="H96"/>
    <hyperlink r:id="rId242" ref="I96"/>
    <hyperlink r:id="rId243" ref="J96"/>
    <hyperlink r:id="rId244" ref="K96"/>
    <hyperlink r:id="rId245" ref="L96"/>
    <hyperlink r:id="rId246" ref="M96"/>
    <hyperlink r:id="rId247" ref="N96"/>
    <hyperlink r:id="rId248" ref="O96"/>
    <hyperlink r:id="rId249" ref="P96"/>
    <hyperlink r:id="rId250" ref="Q96"/>
    <hyperlink r:id="rId251" ref="S96"/>
    <hyperlink r:id="rId252" ref="T96"/>
    <hyperlink r:id="rId253" ref="U96"/>
    <hyperlink r:id="rId254" ref="V96"/>
  </hyperlinks>
  <drawing r:id="rId255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1" defaultRowHeight="15.0"/>
  <cols>
    <col customWidth="1" min="1" max="1" width="7.9"/>
    <col customWidth="1" min="2" max="2" width="7.5"/>
    <col customWidth="1" min="3" max="3" width="24.9"/>
    <col customWidth="1" min="4" max="4" width="21.1"/>
    <col customWidth="1" min="5" max="5" width="22.4"/>
    <col customWidth="1" min="6" max="25" width="21.1"/>
    <col customWidth="1" min="26" max="26" width="20.6"/>
  </cols>
  <sheetData>
    <row r="1">
      <c r="A1" s="1" t="s">
        <v>1</v>
      </c>
      <c r="B1" s="2"/>
      <c r="C1" s="3"/>
      <c r="D1" s="8"/>
      <c r="E1" s="3"/>
      <c r="F1" s="3"/>
      <c r="G1" s="3"/>
      <c r="H1" s="3"/>
      <c r="I1" s="10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5" t="s">
        <v>2</v>
      </c>
      <c r="B2" s="5" t="s">
        <v>3</v>
      </c>
      <c r="C2" s="5" t="s">
        <v>4</v>
      </c>
      <c r="D2" s="12" t="s">
        <v>5</v>
      </c>
      <c r="E2" s="5" t="s">
        <v>6</v>
      </c>
      <c r="F2" s="5" t="s">
        <v>8</v>
      </c>
      <c r="G2" s="5" t="s">
        <v>9</v>
      </c>
      <c r="H2" s="14" t="s">
        <v>10</v>
      </c>
      <c r="I2" s="5" t="s">
        <v>11</v>
      </c>
      <c r="J2" s="12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16" t="s">
        <v>25</v>
      </c>
      <c r="X2" s="16" t="s">
        <v>26</v>
      </c>
      <c r="Y2" s="16" t="s">
        <v>27</v>
      </c>
      <c r="Z2" s="16" t="s">
        <v>28</v>
      </c>
    </row>
    <row r="3" ht="15.0" customHeight="1">
      <c r="A3" s="6" t="s">
        <v>33</v>
      </c>
      <c r="B3" s="13" t="s">
        <v>30</v>
      </c>
      <c r="C3" s="19" t="s">
        <v>39</v>
      </c>
      <c r="D3" s="21" t="s">
        <v>39</v>
      </c>
      <c r="E3" s="26" t="s">
        <v>39</v>
      </c>
      <c r="F3" s="26" t="s">
        <v>39</v>
      </c>
      <c r="G3" s="26" t="s">
        <v>39</v>
      </c>
      <c r="H3" s="28" t="s">
        <v>39</v>
      </c>
      <c r="I3" s="19" t="s">
        <v>41</v>
      </c>
      <c r="J3" s="26" t="s">
        <v>41</v>
      </c>
      <c r="K3" s="26" t="s">
        <v>41</v>
      </c>
      <c r="L3" s="21" t="s">
        <v>41</v>
      </c>
      <c r="M3" s="26" t="s">
        <v>41</v>
      </c>
      <c r="N3" s="26" t="s">
        <v>41</v>
      </c>
      <c r="O3" s="26" t="s">
        <v>41</v>
      </c>
      <c r="P3" s="26" t="s">
        <v>41</v>
      </c>
      <c r="Q3" s="26" t="s">
        <v>42</v>
      </c>
      <c r="R3" s="26" t="s">
        <v>42</v>
      </c>
      <c r="S3" s="21" t="s">
        <v>42</v>
      </c>
      <c r="T3" s="26" t="s">
        <v>42</v>
      </c>
      <c r="U3" s="21" t="s">
        <v>42</v>
      </c>
      <c r="V3" s="21" t="s">
        <v>42</v>
      </c>
      <c r="W3" s="30" t="s">
        <v>39</v>
      </c>
      <c r="X3" s="31" t="s">
        <v>43</v>
      </c>
      <c r="Y3" s="31" t="s">
        <v>42</v>
      </c>
      <c r="Z3" s="31" t="s">
        <v>42</v>
      </c>
    </row>
    <row r="4" ht="30.0" customHeight="1">
      <c r="A4" s="27"/>
      <c r="B4" s="29"/>
      <c r="C4" s="34" t="str">
        <f>HYPERLINK("https://www.youtube.com/watch?v=xjtVxKurqK0","""การอ่านและการเขียน จำนวนตัวเลข 1-5""")</f>
        <v>"การอ่านและการเขียน จำนวนตัวเลข 1-5"</v>
      </c>
      <c r="D4" s="37" t="str">
        <f>HYPERLINK("https://www.youtube.com/watch?v=FNDEoGTB5Jw","""การอ่านและการเขียน จำนวนตัวเลข 6-10""")</f>
        <v>"การอ่านและการเขียน จำนวนตัวเลข 6-10"</v>
      </c>
      <c r="E4" s="39" t="str">
        <f>HYPERLINK("https://www.youtube.com/watch?v=3017v134o1M","""การอ่านและการเขียน จำนวนตัวเลข 11-20""")</f>
        <v>"การอ่านและการเขียน จำนวนตัวเลข 11-20"</v>
      </c>
      <c r="F4" s="42" t="s">
        <v>55</v>
      </c>
      <c r="G4" s="42" t="s">
        <v>57</v>
      </c>
      <c r="H4" s="44" t="s">
        <v>58</v>
      </c>
      <c r="I4" s="46" t="s">
        <v>59</v>
      </c>
      <c r="J4" s="42" t="s">
        <v>60</v>
      </c>
      <c r="K4" s="42" t="s">
        <v>61</v>
      </c>
      <c r="L4" s="46" t="s">
        <v>62</v>
      </c>
      <c r="M4" s="48" t="s">
        <v>63</v>
      </c>
      <c r="N4" s="42" t="s">
        <v>67</v>
      </c>
      <c r="O4" s="42" t="s">
        <v>68</v>
      </c>
      <c r="P4" s="48" t="s">
        <v>69</v>
      </c>
      <c r="Q4" s="48" t="s">
        <v>70</v>
      </c>
      <c r="R4" s="48" t="s">
        <v>71</v>
      </c>
      <c r="S4" s="46" t="s">
        <v>72</v>
      </c>
      <c r="T4" s="42" t="s">
        <v>73</v>
      </c>
      <c r="U4" s="46" t="s">
        <v>74</v>
      </c>
      <c r="V4" s="46" t="s">
        <v>75</v>
      </c>
      <c r="W4" s="50" t="s">
        <v>76</v>
      </c>
      <c r="X4" s="50" t="s">
        <v>78</v>
      </c>
      <c r="Y4" s="50" t="s">
        <v>79</v>
      </c>
      <c r="Z4" s="50" t="s">
        <v>80</v>
      </c>
    </row>
    <row r="5">
      <c r="A5" s="27"/>
      <c r="B5" s="29"/>
      <c r="C5" s="10" t="s">
        <v>81</v>
      </c>
      <c r="D5" s="10" t="s">
        <v>81</v>
      </c>
      <c r="E5" s="10" t="s">
        <v>81</v>
      </c>
      <c r="F5" s="10" t="s">
        <v>81</v>
      </c>
      <c r="G5" s="52" t="s">
        <v>82</v>
      </c>
      <c r="H5" s="53" t="s">
        <v>82</v>
      </c>
      <c r="I5" s="54" t="s">
        <v>82</v>
      </c>
      <c r="J5" s="58" t="s">
        <v>83</v>
      </c>
      <c r="K5" s="64" t="s">
        <v>83</v>
      </c>
      <c r="L5" s="66" t="s">
        <v>83</v>
      </c>
      <c r="M5" s="64" t="s">
        <v>83</v>
      </c>
      <c r="N5" s="10" t="s">
        <v>81</v>
      </c>
      <c r="O5" s="10" t="s">
        <v>81</v>
      </c>
      <c r="P5" s="10" t="s">
        <v>81</v>
      </c>
      <c r="Q5" s="10" t="s">
        <v>81</v>
      </c>
      <c r="R5" s="10" t="s">
        <v>81</v>
      </c>
      <c r="S5" s="54" t="s">
        <v>110</v>
      </c>
      <c r="T5" s="52" t="s">
        <v>110</v>
      </c>
      <c r="U5" s="54" t="s">
        <v>110</v>
      </c>
      <c r="V5" s="54" t="s">
        <v>110</v>
      </c>
      <c r="W5" s="10" t="s">
        <v>81</v>
      </c>
      <c r="X5" s="10" t="s">
        <v>81</v>
      </c>
      <c r="Y5" s="10" t="s">
        <v>81</v>
      </c>
      <c r="Z5" s="10" t="s">
        <v>81</v>
      </c>
    </row>
    <row r="6" ht="30.0" customHeight="1">
      <c r="A6" s="27"/>
      <c r="B6" s="29"/>
      <c r="C6" s="10" t="s">
        <v>111</v>
      </c>
      <c r="D6" s="10" t="s">
        <v>111</v>
      </c>
      <c r="E6" s="10" t="s">
        <v>111</v>
      </c>
      <c r="F6" s="10" t="s">
        <v>111</v>
      </c>
      <c r="G6" s="70" t="s">
        <v>112</v>
      </c>
      <c r="H6" s="71" t="s">
        <v>112</v>
      </c>
      <c r="I6" s="73" t="s">
        <v>112</v>
      </c>
      <c r="J6" s="58" t="s">
        <v>120</v>
      </c>
      <c r="K6" s="64" t="s">
        <v>120</v>
      </c>
      <c r="L6" s="66" t="s">
        <v>120</v>
      </c>
      <c r="M6" s="64" t="s">
        <v>120</v>
      </c>
      <c r="N6" s="10" t="s">
        <v>111</v>
      </c>
      <c r="O6" s="10" t="s">
        <v>111</v>
      </c>
      <c r="P6" s="10" t="s">
        <v>111</v>
      </c>
      <c r="Q6" s="10" t="s">
        <v>111</v>
      </c>
      <c r="R6" s="10" t="s">
        <v>111</v>
      </c>
      <c r="S6" s="54" t="s">
        <v>103</v>
      </c>
      <c r="T6" s="52" t="s">
        <v>103</v>
      </c>
      <c r="U6" s="54" t="s">
        <v>103</v>
      </c>
      <c r="V6" s="54" t="s">
        <v>103</v>
      </c>
      <c r="W6" s="75" t="s">
        <v>123</v>
      </c>
      <c r="X6" s="75" t="s">
        <v>123</v>
      </c>
      <c r="Y6" s="75" t="s">
        <v>123</v>
      </c>
      <c r="Z6" s="75" t="s">
        <v>123</v>
      </c>
    </row>
    <row r="7">
      <c r="A7" s="27"/>
      <c r="B7" s="29"/>
      <c r="C7" s="10" t="s">
        <v>128</v>
      </c>
      <c r="D7" s="10" t="s">
        <v>128</v>
      </c>
      <c r="E7" s="10" t="s">
        <v>128</v>
      </c>
      <c r="F7" s="60" t="s">
        <v>128</v>
      </c>
      <c r="G7" s="52" t="s">
        <v>130</v>
      </c>
      <c r="H7" s="53" t="s">
        <v>130</v>
      </c>
      <c r="I7" s="54" t="s">
        <v>130</v>
      </c>
      <c r="J7" s="58" t="s">
        <v>131</v>
      </c>
      <c r="K7" s="64" t="s">
        <v>131</v>
      </c>
      <c r="L7" s="66" t="s">
        <v>131</v>
      </c>
      <c r="M7" s="64" t="s">
        <v>131</v>
      </c>
      <c r="N7" s="10" t="s">
        <v>128</v>
      </c>
      <c r="O7" s="10" t="s">
        <v>128</v>
      </c>
      <c r="P7" s="10" t="s">
        <v>128</v>
      </c>
      <c r="Q7" s="10" t="s">
        <v>128</v>
      </c>
      <c r="R7" s="10" t="s">
        <v>128</v>
      </c>
      <c r="S7" s="75" t="s">
        <v>107</v>
      </c>
      <c r="T7" s="62" t="s">
        <v>107</v>
      </c>
      <c r="U7" s="75" t="s">
        <v>107</v>
      </c>
      <c r="V7" s="75" t="s">
        <v>107</v>
      </c>
      <c r="W7" s="10" t="s">
        <v>128</v>
      </c>
      <c r="X7" s="10" t="s">
        <v>128</v>
      </c>
      <c r="Y7" s="10" t="s">
        <v>128</v>
      </c>
      <c r="Z7" s="10" t="s">
        <v>128</v>
      </c>
    </row>
    <row r="8">
      <c r="A8" s="27"/>
      <c r="B8" s="29"/>
      <c r="C8" s="81" t="str">
        <f>HYPERLINK("https://www.youtube.com/watch?v=xjtVxKurqK0","https://www.youtube.com/watch?v=xjtVxKurqK0")</f>
        <v>https://www.youtube.com/watch?v=xjtVxKurqK0</v>
      </c>
      <c r="D8" s="81" t="str">
        <f>HYPERLINK("https://www.youtube.com/watch?v=FNDEoGTB5Jw","https://www.youtube.com/watch?v=FNDEoGTB5Jw")</f>
        <v>https://www.youtube.com/watch?v=FNDEoGTB5Jw</v>
      </c>
      <c r="E8" s="81" t="str">
        <f>HYPERLINK("https://www.youtube.com/watch?v=3017v134o1M","https://www.youtube.com/watch?v=3017v134o1M")</f>
        <v>https://www.youtube.com/watch?v=3017v134o1M</v>
      </c>
      <c r="F8" s="85" t="s">
        <v>142</v>
      </c>
      <c r="G8" s="85" t="s">
        <v>146</v>
      </c>
      <c r="H8" s="87" t="s">
        <v>147</v>
      </c>
      <c r="I8" s="69" t="s">
        <v>148</v>
      </c>
      <c r="J8" s="85" t="s">
        <v>149</v>
      </c>
      <c r="K8" s="85" t="s">
        <v>150</v>
      </c>
      <c r="L8" s="91" t="s">
        <v>151</v>
      </c>
      <c r="M8" s="85" t="s">
        <v>152</v>
      </c>
      <c r="N8" s="85" t="s">
        <v>153</v>
      </c>
      <c r="O8" s="85" t="s">
        <v>154</v>
      </c>
      <c r="P8" s="85" t="s">
        <v>155</v>
      </c>
      <c r="Q8" s="85" t="s">
        <v>156</v>
      </c>
      <c r="R8" s="85" t="s">
        <v>157</v>
      </c>
      <c r="S8" s="91" t="s">
        <v>158</v>
      </c>
      <c r="T8" s="85" t="s">
        <v>160</v>
      </c>
      <c r="U8" s="91" t="s">
        <v>161</v>
      </c>
      <c r="V8" s="91" t="s">
        <v>162</v>
      </c>
      <c r="W8" s="91" t="s">
        <v>167</v>
      </c>
      <c r="X8" s="91" t="s">
        <v>168</v>
      </c>
      <c r="Y8" s="91" t="s">
        <v>169</v>
      </c>
      <c r="Z8" s="91" t="s">
        <v>170</v>
      </c>
    </row>
    <row r="9">
      <c r="A9" s="27"/>
      <c r="B9" s="79"/>
      <c r="C9" s="98" t="str">
        <f>HYPERLINK("https://drive.google.com/folderview?id=0B4mky1MMW8dYfmxuS2ZIOEZ3QUNaOVpMZTBRaldmelMyZXM0b0YyQ0VCN2xtSHRzQjRPTjQ&amp;usp=sharing","ดาวน์โหลดเอกสารประกอบ")</f>
        <v>ดาวน์โหลดเอกสารประกอบ</v>
      </c>
      <c r="D9" s="98" t="str">
        <f>HYPERLINK("https://drive.google.com/folderview?id=0B4mky1MMW8dYfmFBWEotYjhZUEs1eU13TG1zcjZTRVdPR1NJa1ZFellGVUZwSTNKR1dtUnM&amp;usp=sharing","ดาวน์โหลดเอกสารประกอบ")</f>
        <v>ดาวน์โหลดเอกสารประกอบ</v>
      </c>
      <c r="E9" s="98" t="str">
        <f>HYPERLINK("https://drive.google.com/folderview?id=0B4mky1MMW8dYfmNrZFR2aTRtSnpVWWNvQjA1MGVXVTBlQnYxcDVkOG03NUYyek9CSEREMHc&amp;usp=sharing","ดาวน์โหลดเอกสารประกอบ")</f>
        <v>ดาวน์โหลดเอกสารประกอบ</v>
      </c>
      <c r="F9" s="98" t="str">
        <f>HYPERLINK("https://drive.google.com/folderview?id=0B4mky1MMW8dYfm81Vkl6SVJWME5XYjd2RDlyR1NrYmdmcEt1OXNnbEwyV3ZJYUtjQ3pxdFk&amp;usp=sharing","ดาวน์โหลดเอกสารประกอบ")</f>
        <v>ดาวน์โหลดเอกสารประกอบ</v>
      </c>
      <c r="G9" s="98" t="str">
        <f>HYPERLINK("https://drive.google.com/folderview?id=0B0x_dulH5-nEflhLalFOWUlXcUdLclZaejV1eklNa28yemMxM0czbXZCTTVlRUpGZk1KZ3c&amp;usp=sharing","ดาวน์โหลดเอกสารประกอบ")</f>
        <v>ดาวน์โหลดเอกสารประกอบ</v>
      </c>
      <c r="H9" s="106" t="str">
        <f t="shared" ref="H9:I9" si="1">HYPERLINK("https://drive.google.com/folderview?id=0B0x_dulH5-nEfmt2ZWQyYnUydkJGcXg0UXlQc0tKSHI3bmVTdUFFT2xnUnlQbURweFNXaGs&amp;usp=sharing","ดาวน์โหลดเอกสารประกอบ")</f>
        <v>ดาวน์โหลดเอกสารประกอบ</v>
      </c>
      <c r="I9" s="83" t="str">
        <f t="shared" si="1"/>
        <v>ดาวน์โหลดเอกสารประกอบ</v>
      </c>
      <c r="J9" s="110" t="str">
        <f>HYPERLINK("https://drive.google.com/folderview?id=0B4mky1MMW8dYfnB5bnNISWZ4ZEx2YTduOVd0MExqaHVGTTdfTE9WMlRrVDdFQ2pSZTlPcFE&amp;usp=sharing","ดาวน์โหลดเอกสารประกอบ")</f>
        <v>ดาวน์โหลดเอกสารประกอบ</v>
      </c>
      <c r="K9" s="98" t="str">
        <f>HYPERLINK("https://drive.google.com/folderview?id=0B4mky1MMW8dYfk5GMlNXYXc0cXBLLXBTYVdyNUxZREZKQjdpQU43dTQ1VlpnOXZrblN5R0k&amp;usp=sharing","ดาวน์โหลดเอกสารประกอบ")</f>
        <v>ดาวน์โหลดเอกสารประกอบ</v>
      </c>
      <c r="L9" s="98" t="str">
        <f>HYPERLINK("https://drive.google.com/folderview?id=0B4mky1MMW8dYfnloU0J1am5SdWltcndnaDl1d0dnaXRGSHNpaDVsb2VuNURzV3FDZGJlUUE&amp;usp=sharing","ดาวน์โหลดเอกสารประกอบ")</f>
        <v>ดาวน์โหลดเอกสารประกอบ</v>
      </c>
      <c r="M9" s="98" t="str">
        <f>HYPERLINK("https://drive.google.com/folderview?id=0B4mky1MMW8dYfjR2UkRfT0ZJU3JMeEpmWk9FZmZtNm9CNEJXT2JLWHVuM25HeEMydGdZMTg&amp;usp=sharing","ดาวน์โหลดเอกสารประกอบ")</f>
        <v>ดาวน์โหลดเอกสารประกอบ</v>
      </c>
      <c r="N9" s="98" t="str">
        <f>HYPERLINK("https://drive.google.com/folderview?id=0B4mky1MMW8dYflREUzBsdi1pR0Zsa00tSkEyZjFqcGx3dVZldUFDSG1qeTk5ZFBES0Fva3c&amp;usp=sharing","ดาวน์โหลดเอกสารประกอบ")</f>
        <v>ดาวน์โหลดเอกสารประกอบ</v>
      </c>
      <c r="O9" s="98" t="str">
        <f>HYPERLINK("https://drive.google.com/folderview?id=0B4mky1MMW8dYfk5lQko5NzNPRUExa0JNUmR0RzFzby1LQjlKNUx4Xzg4QVNvY2VSbE1USXc&amp;usp=sharing","ดาวน์โหลดเอกสารประกอบ")</f>
        <v>ดาวน์โหลดเอกสารประกอบ</v>
      </c>
      <c r="P9" s="98" t="str">
        <f>HYPERLINK("https://drive.google.com/folderview?id=0B4mky1MMW8dYfkZhRmc2QW5uRWVwMnB0ZVBLck1ta2JRUFhXOFVQeGNsUzlEUE0wckpYSTQ&amp;usp=sharing","ดาวน์โหลดเอกสารประกอบ")</f>
        <v>ดาวน์โหลดเอกสารประกอบ</v>
      </c>
      <c r="Q9" s="98" t="str">
        <f>HYPERLINK("https://drive.google.com/folderview?id=0B4mky1MMW8dYflg0cmFJdWpiUmJ5VW40Y3VLSU1zNXhKVzdzR0VfWmdxLU82Y1YyYmprUGM&amp;usp=sharing","ดาวน์โหลดเอกสารประกอบ")</f>
        <v>ดาวน์โหลดเอกสารประกอบ</v>
      </c>
      <c r="R9" s="98" t="str">
        <f>HYPERLINK("https://drive.google.com/folderview?id=0B4mky1MMW8dYfmNuTE1VcEhwbmlPa3ZIR1BxVWVqV0hNaFc5cWI3blBHTjVnblM4UVIwSFE&amp;usp=sharing","ดาวน์โหลดเอกสารประกอบ")</f>
        <v>ดาวน์โหลดเอกสารประกอบ</v>
      </c>
      <c r="S9" s="98" t="str">
        <f>HYPERLINK("https://drive.google.com/folderview?id=0BydHLJgPtYsXfjRkNWR2S1poRmIzZWkxYk5ST3pOZXAxaEVKb1NSRVAzbkhzQ1FzWDNteEk&amp;usp=sharing","ดาวน์โหลดเอกสารประกอบ")</f>
        <v>ดาวน์โหลดเอกสารประกอบ</v>
      </c>
      <c r="T9" s="129" t="s">
        <v>195</v>
      </c>
      <c r="U9" s="98" t="str">
        <f>HYPERLINK("https://drive.google.com/folderview?id=0BydHLJgPtYsXfm5uZ3FCSmpkVWZKUUFqazdmRzN4UzNBTDN4SGIydTJ1dENTMERsdGtVZG8&amp;usp=sharing","ดาวน์โหลดเอกสารประกอบ")</f>
        <v>ดาวน์โหลดเอกสารประกอบ</v>
      </c>
      <c r="V9" s="98" t="str">
        <f>HYPERLINK("https://drive.google.com/folderview?id=0BydHLJgPtYsXfkNHUXJTR2RyYmlzQjVsLUVBUWh5MTVWYXIyZWZSRVdOTktiTGNWS1FJVTQ&amp;usp=sharing","ดาวน์โหลดเอกสารประกอบ")</f>
        <v>ดาวน์โหลดเอกสารประกอบ</v>
      </c>
      <c r="W9" s="98" t="str">
        <f>HYPERLINK("https://drive.google.com/folderview?id=0B0x_dulH5-nEM0xGUjdrcFVuR0E&amp;usp=sharing","ดาวน์โหลดเอกสารประกอบ")</f>
        <v>ดาวน์โหลดเอกสารประกอบ</v>
      </c>
      <c r="X9" s="98" t="str">
        <f>HYPERLINK("https://drive.google.com/folderview?id=0B0x_dulH5-nEUklhTVNGODJRbHc&amp;usp=sharing","ดาวน์โหลดเอกสารประกอบ")</f>
        <v>ดาวน์โหลดเอกสารประกอบ</v>
      </c>
      <c r="Y9" s="98" t="str">
        <f>HYPERLINK("https://drive.google.com/folderview?id=0B0x_dulH5-nEY3dFTWdVT3JQR2c&amp;usp=sharing","ดาวน์โหลดเอกสารประกอบ")</f>
        <v>ดาวน์โหลดเอกสารประกอบ</v>
      </c>
      <c r="Z9" s="98" t="str">
        <f>HYPERLINK("https://drive.google.com/folderview?id=0B0x_dulH5-nEV1hiMWxJcGkzd28&amp;usp=sharing","ดาวน์โหลดเอกสารประกอบ")</f>
        <v>ดาวน์โหลดเอกสารประกอบ</v>
      </c>
    </row>
    <row r="10">
      <c r="A10" s="27"/>
      <c r="B10" s="5" t="s">
        <v>3</v>
      </c>
      <c r="C10" s="5" t="s">
        <v>4</v>
      </c>
      <c r="D10" s="12" t="s">
        <v>5</v>
      </c>
      <c r="E10" s="5" t="s">
        <v>6</v>
      </c>
      <c r="F10" s="5" t="s">
        <v>8</v>
      </c>
      <c r="G10" s="5" t="s">
        <v>9</v>
      </c>
      <c r="H10" s="14" t="s">
        <v>10</v>
      </c>
      <c r="I10" s="5" t="s">
        <v>11</v>
      </c>
      <c r="J10" s="12" t="s">
        <v>12</v>
      </c>
      <c r="K10" s="5" t="s">
        <v>13</v>
      </c>
      <c r="L10" s="5" t="s">
        <v>14</v>
      </c>
      <c r="M10" s="5" t="s">
        <v>15</v>
      </c>
      <c r="N10" s="5" t="s">
        <v>16</v>
      </c>
      <c r="O10" s="5" t="s">
        <v>17</v>
      </c>
      <c r="P10" s="5" t="s">
        <v>18</v>
      </c>
      <c r="Q10" s="5" t="s">
        <v>19</v>
      </c>
      <c r="R10" s="5" t="s">
        <v>20</v>
      </c>
      <c r="S10" s="5" t="s">
        <v>21</v>
      </c>
      <c r="T10" s="5" t="s">
        <v>22</v>
      </c>
      <c r="U10" s="5" t="s">
        <v>23</v>
      </c>
      <c r="V10" s="5" t="s">
        <v>24</v>
      </c>
      <c r="W10" s="16" t="s">
        <v>25</v>
      </c>
      <c r="X10" s="138">
        <v>22.0</v>
      </c>
      <c r="Y10" s="138">
        <v>23.0</v>
      </c>
      <c r="Z10" s="138">
        <v>24.0</v>
      </c>
    </row>
    <row r="11">
      <c r="A11" s="27"/>
      <c r="B11" s="13" t="s">
        <v>113</v>
      </c>
      <c r="C11" s="19" t="s">
        <v>39</v>
      </c>
      <c r="D11" s="19" t="s">
        <v>39</v>
      </c>
      <c r="E11" s="21" t="s">
        <v>41</v>
      </c>
      <c r="F11" s="19" t="s">
        <v>41</v>
      </c>
      <c r="G11" s="21" t="s">
        <v>41</v>
      </c>
      <c r="H11" s="139" t="s">
        <v>41</v>
      </c>
      <c r="I11" s="19" t="s">
        <v>41</v>
      </c>
      <c r="J11" s="140" t="s">
        <v>41</v>
      </c>
      <c r="K11" s="19" t="s">
        <v>41</v>
      </c>
      <c r="L11" s="19" t="s">
        <v>41</v>
      </c>
      <c r="M11" s="19" t="s">
        <v>41</v>
      </c>
      <c r="N11" s="19" t="s">
        <v>41</v>
      </c>
      <c r="O11" s="19" t="s">
        <v>41</v>
      </c>
      <c r="P11" s="19" t="s">
        <v>41</v>
      </c>
      <c r="Q11" s="19" t="s">
        <v>42</v>
      </c>
      <c r="R11" s="19" t="s">
        <v>42</v>
      </c>
      <c r="S11" s="19" t="s">
        <v>42</v>
      </c>
      <c r="T11" s="141" t="s">
        <v>41</v>
      </c>
      <c r="U11" s="141" t="s">
        <v>41</v>
      </c>
      <c r="V11" s="141" t="s">
        <v>42</v>
      </c>
      <c r="W11" s="141" t="s">
        <v>42</v>
      </c>
      <c r="X11" s="141" t="s">
        <v>41</v>
      </c>
      <c r="Y11" s="141" t="s">
        <v>42</v>
      </c>
      <c r="Z11" s="141" t="s">
        <v>41</v>
      </c>
    </row>
    <row r="12" ht="60.0" customHeight="1">
      <c r="A12" s="27"/>
      <c r="B12" s="29"/>
      <c r="C12" s="34" t="str">
        <f>HYPERLINK("https://www.youtube.com/watch?v=yJviyDFPNsU","การบอกค่าประจำหลักของจำนวนที่กำหนดให้")</f>
        <v>การบอกค่าประจำหลักของจำนวนที่กำหนดให้</v>
      </c>
      <c r="D12" s="46" t="s">
        <v>276</v>
      </c>
      <c r="E12" s="143" t="s">
        <v>277</v>
      </c>
      <c r="F12" s="143" t="s">
        <v>278</v>
      </c>
      <c r="G12" s="143" t="s">
        <v>279</v>
      </c>
      <c r="H12" s="145" t="s">
        <v>280</v>
      </c>
      <c r="I12" s="143" t="s">
        <v>281</v>
      </c>
      <c r="J12" s="42" t="s">
        <v>282</v>
      </c>
      <c r="K12" s="55" t="s">
        <v>283</v>
      </c>
      <c r="L12" s="55" t="s">
        <v>284</v>
      </c>
      <c r="M12" s="55" t="s">
        <v>285</v>
      </c>
      <c r="N12" s="55" t="s">
        <v>286</v>
      </c>
      <c r="O12" s="46" t="s">
        <v>287</v>
      </c>
      <c r="P12" s="46" t="s">
        <v>288</v>
      </c>
      <c r="Q12" s="46" t="s">
        <v>289</v>
      </c>
      <c r="R12" s="46" t="s">
        <v>290</v>
      </c>
      <c r="S12" s="46" t="s">
        <v>291</v>
      </c>
      <c r="T12" s="55" t="s">
        <v>292</v>
      </c>
      <c r="U12" s="55" t="s">
        <v>293</v>
      </c>
      <c r="V12" s="55" t="s">
        <v>294</v>
      </c>
      <c r="W12" s="55" t="s">
        <v>295</v>
      </c>
      <c r="X12" s="55" t="s">
        <v>296</v>
      </c>
      <c r="Y12" s="55" t="s">
        <v>297</v>
      </c>
      <c r="Z12" s="55" t="s">
        <v>298</v>
      </c>
    </row>
    <row r="13">
      <c r="A13" s="27"/>
      <c r="B13" s="29"/>
      <c r="C13" s="147" t="s">
        <v>299</v>
      </c>
      <c r="D13" s="147" t="s">
        <v>299</v>
      </c>
      <c r="E13" s="148" t="s">
        <v>300</v>
      </c>
      <c r="F13" s="149" t="s">
        <v>300</v>
      </c>
      <c r="G13" s="148" t="s">
        <v>300</v>
      </c>
      <c r="H13" s="150" t="s">
        <v>300</v>
      </c>
      <c r="I13" s="151" t="s">
        <v>302</v>
      </c>
      <c r="J13" s="154" t="s">
        <v>302</v>
      </c>
      <c r="K13" s="75" t="s">
        <v>303</v>
      </c>
      <c r="L13" s="75" t="s">
        <v>303</v>
      </c>
      <c r="M13" s="75" t="s">
        <v>303</v>
      </c>
      <c r="N13" s="75" t="s">
        <v>304</v>
      </c>
      <c r="O13" s="75" t="s">
        <v>304</v>
      </c>
      <c r="P13" s="75" t="s">
        <v>305</v>
      </c>
      <c r="Q13" s="75" t="s">
        <v>305</v>
      </c>
      <c r="R13" s="75" t="s">
        <v>305</v>
      </c>
      <c r="S13" s="75" t="s">
        <v>305</v>
      </c>
      <c r="T13" s="75" t="s">
        <v>306</v>
      </c>
      <c r="U13" s="75" t="s">
        <v>306</v>
      </c>
      <c r="V13" s="75" t="s">
        <v>306</v>
      </c>
      <c r="W13" s="75" t="s">
        <v>306</v>
      </c>
      <c r="X13" s="156" t="s">
        <v>307</v>
      </c>
      <c r="Y13" s="156" t="s">
        <v>307</v>
      </c>
      <c r="Z13" s="156" t="s">
        <v>307</v>
      </c>
    </row>
    <row r="14">
      <c r="A14" s="27"/>
      <c r="B14" s="29"/>
      <c r="C14" s="64" t="s">
        <v>308</v>
      </c>
      <c r="D14" s="64" t="s">
        <v>308</v>
      </c>
      <c r="E14" s="148" t="s">
        <v>309</v>
      </c>
      <c r="F14" s="149" t="s">
        <v>309</v>
      </c>
      <c r="G14" s="148" t="s">
        <v>309</v>
      </c>
      <c r="H14" s="150" t="s">
        <v>309</v>
      </c>
      <c r="I14" s="151" t="s">
        <v>310</v>
      </c>
      <c r="J14" s="154" t="s">
        <v>310</v>
      </c>
      <c r="K14" s="75" t="s">
        <v>103</v>
      </c>
      <c r="L14" s="75" t="s">
        <v>103</v>
      </c>
      <c r="M14" s="75" t="s">
        <v>103</v>
      </c>
      <c r="N14" s="75" t="s">
        <v>309</v>
      </c>
      <c r="O14" s="75" t="s">
        <v>309</v>
      </c>
      <c r="P14" s="75" t="s">
        <v>311</v>
      </c>
      <c r="Q14" s="75" t="s">
        <v>311</v>
      </c>
      <c r="R14" s="75" t="s">
        <v>311</v>
      </c>
      <c r="S14" s="75" t="s">
        <v>311</v>
      </c>
      <c r="T14" s="75" t="s">
        <v>312</v>
      </c>
      <c r="U14" s="75" t="s">
        <v>312</v>
      </c>
      <c r="V14" s="75" t="s">
        <v>312</v>
      </c>
      <c r="W14" s="75" t="s">
        <v>312</v>
      </c>
      <c r="X14" s="58" t="s">
        <v>313</v>
      </c>
      <c r="Y14" s="58" t="s">
        <v>313</v>
      </c>
      <c r="Z14" s="58" t="s">
        <v>313</v>
      </c>
    </row>
    <row r="15">
      <c r="A15" s="27"/>
      <c r="B15" s="29"/>
      <c r="C15" s="64" t="s">
        <v>314</v>
      </c>
      <c r="D15" s="64" t="s">
        <v>314</v>
      </c>
      <c r="E15" s="148" t="s">
        <v>130</v>
      </c>
      <c r="F15" s="149" t="s">
        <v>130</v>
      </c>
      <c r="G15" s="148" t="s">
        <v>130</v>
      </c>
      <c r="H15" s="150" t="s">
        <v>130</v>
      </c>
      <c r="I15" s="151" t="s">
        <v>314</v>
      </c>
      <c r="J15" s="154" t="s">
        <v>314</v>
      </c>
      <c r="K15" s="75" t="s">
        <v>107</v>
      </c>
      <c r="L15" s="75" t="s">
        <v>107</v>
      </c>
      <c r="M15" s="75" t="s">
        <v>107</v>
      </c>
      <c r="N15" s="75" t="s">
        <v>130</v>
      </c>
      <c r="O15" s="75" t="s">
        <v>130</v>
      </c>
      <c r="P15" s="75" t="s">
        <v>131</v>
      </c>
      <c r="Q15" s="75" t="s">
        <v>131</v>
      </c>
      <c r="R15" s="75" t="s">
        <v>131</v>
      </c>
      <c r="S15" s="75" t="s">
        <v>131</v>
      </c>
      <c r="T15" s="62" t="s">
        <v>105</v>
      </c>
      <c r="U15" s="62" t="s">
        <v>105</v>
      </c>
      <c r="V15" s="75" t="s">
        <v>105</v>
      </c>
      <c r="W15" s="75" t="s">
        <v>105</v>
      </c>
      <c r="X15" s="75" t="s">
        <v>105</v>
      </c>
      <c r="Y15" s="75" t="s">
        <v>105</v>
      </c>
      <c r="Z15" s="75" t="s">
        <v>105</v>
      </c>
    </row>
    <row r="16">
      <c r="A16" s="27"/>
      <c r="B16" s="29"/>
      <c r="C16" s="91" t="s">
        <v>315</v>
      </c>
      <c r="D16" s="91" t="s">
        <v>317</v>
      </c>
      <c r="E16" s="91" t="s">
        <v>318</v>
      </c>
      <c r="F16" s="91" t="s">
        <v>319</v>
      </c>
      <c r="G16" s="91" t="s">
        <v>321</v>
      </c>
      <c r="H16" s="87" t="s">
        <v>322</v>
      </c>
      <c r="I16" s="69" t="s">
        <v>323</v>
      </c>
      <c r="J16" s="85" t="s">
        <v>324</v>
      </c>
      <c r="K16" s="91" t="s">
        <v>325</v>
      </c>
      <c r="L16" s="91" t="s">
        <v>326</v>
      </c>
      <c r="M16" s="91" t="s">
        <v>327</v>
      </c>
      <c r="N16" s="91" t="s">
        <v>328</v>
      </c>
      <c r="O16" s="91" t="s">
        <v>329</v>
      </c>
      <c r="P16" s="91" t="s">
        <v>333</v>
      </c>
      <c r="Q16" s="91" t="s">
        <v>337</v>
      </c>
      <c r="R16" s="91" t="s">
        <v>338</v>
      </c>
      <c r="S16" s="91" t="s">
        <v>339</v>
      </c>
      <c r="T16" s="91" t="s">
        <v>340</v>
      </c>
      <c r="U16" s="91" t="s">
        <v>341</v>
      </c>
      <c r="V16" s="91" t="s">
        <v>342</v>
      </c>
      <c r="W16" s="91" t="s">
        <v>343</v>
      </c>
      <c r="X16" s="91" t="s">
        <v>344</v>
      </c>
      <c r="Y16" s="91" t="s">
        <v>345</v>
      </c>
      <c r="Z16" s="91" t="s">
        <v>346</v>
      </c>
    </row>
    <row r="17">
      <c r="A17" s="27"/>
      <c r="B17" s="79"/>
      <c r="C17" s="152" t="s">
        <v>31</v>
      </c>
      <c r="D17" s="152" t="s">
        <v>31</v>
      </c>
      <c r="E17" s="98" t="str">
        <f>HYPERLINK("https://drive.google.com/folderview?id=0B0x_dulH5-nEfnAtWXI2VnVmVUZSd3lFNnpKUnJkSFpwZ242Z0t5NC1pZHJkc291N1JuNTg&amp;usp=sharing","ดาวน์โหลดเอกสารประกอบ")</f>
        <v>ดาวน์โหลดเอกสารประกอบ</v>
      </c>
      <c r="F17" s="98" t="str">
        <f>HYPERLINK("https://drive.google.com/folderview?id=0B0x_dulH5-nEfmtpMk9fYWQxSUVpQ1JfcGkxX0treGplajBiejNzUEJrRFRDYy11Z2dObTg&amp;usp=sharing","ดาวน์โหลดเอกสารประกอบ")</f>
        <v>ดาวน์โหลดเอกสารประกอบ</v>
      </c>
      <c r="G17" s="98" t="str">
        <f>HYPERLINK("https://drive.google.com/folderview?id=0B0x_dulH5-nEfjdPN0h3YVVBQVN3VFpONEtSVjJlb0J0djF5Rkt5NTNFQUtHclJRZEs0TlU&amp;usp=sharing","ดาวน์โหลดเอกสารประกอบ")</f>
        <v>ดาวน์โหลดเอกสารประกอบ</v>
      </c>
      <c r="H17" s="106" t="str">
        <f>HYPERLINK("https://drive.google.com/folderview?id=0B0x_dulH5-nEfkYtdHFiTFhMYzJnczk1b19xdG5JYjlsbWhtb0VJZnRqQkZBVW16ZFpSdE0&amp;usp=sharing","ดาวน์โหลดเอกสารประกอบ")</f>
        <v>ดาวน์โหลดเอกสารประกอบ</v>
      </c>
      <c r="I17" s="94" t="s">
        <v>31</v>
      </c>
      <c r="J17" s="164" t="s">
        <v>31</v>
      </c>
      <c r="K17" s="152" t="s">
        <v>31</v>
      </c>
      <c r="L17" s="152" t="s">
        <v>31</v>
      </c>
      <c r="M17" s="152" t="s">
        <v>31</v>
      </c>
      <c r="N17" s="98" t="str">
        <f>HYPERLINK("https://drive.google.com/folderview?id=0B0x_dulH5-nEfmVzaWxLQ0RUdFBCTDlxTzFuVm8ydGUzWTg2dUVWczliVlRVcWc5Yjkyc0E&amp;usp=sharing","ดาวน์โหลดเอกสารประกอบ")</f>
        <v>ดาวน์โหลดเอกสารประกอบ</v>
      </c>
      <c r="O17" s="98" t="str">
        <f>HYPERLINK("https://drive.google.com/drive/folders/0B0x_dulH5-nEfkgyckx3X0JLUXRyVmk2d2NPbWEzTjZTY1cyeUFFVDZCT1hJSHNxWlZxcjA","ดาวน์โหลดเอกสารประกอบ")</f>
        <v>ดาวน์โหลดเอกสารประกอบ</v>
      </c>
      <c r="P17" s="98" t="str">
        <f>HYPERLINK("https://drive.google.com/folderview?id=0BydHLJgPtYsXfnBiR2RxZm96bU5VTnhYWThIS1dkdlR1aXkxN0Y2am45Q21ydUdVemR1NVU&amp;usp=sharing","ดาวน์โหลดเอกสารประกอบ")</f>
        <v>ดาวน์โหลดเอกสารประกอบ</v>
      </c>
      <c r="Q17" s="98" t="str">
        <f>HYPERLINK("https://drive.google.com/folderview?id=0BydHLJgPtYsXfjNDS1dfV1A4aWxzTnI2SHIxMFNxZU1nbHpJS3NFanRkMUl4WGVja3owWm8&amp;usp=sharing","ดาวน์โหลดเอกสารประกอบ")</f>
        <v>ดาวน์โหลดเอกสารประกอบ</v>
      </c>
      <c r="R17" s="98" t="str">
        <f>HYPERLINK("https://drive.google.com/folderview?id=0BydHLJgPtYsXfjA4WmRacDVxaDlYSmpUSmRfdFpGSThEQ1JveTVhdFp0bklXY0xfNFNodlk&amp;usp=sharing","ดาวน์โหลดเอกสารประกอบ")</f>
        <v>ดาวน์โหลดเอกสารประกอบ</v>
      </c>
      <c r="S17" s="98" t="str">
        <f>HYPERLINK("https://drive.google.com/folderview?id=0BydHLJgPtYsXfmlaODNRNGZEckRlcnVuQjgycHhmVC1XMjBSeWVDNDZkeEttUkdMY1otVmM&amp;usp=sharing","ดาวน์โหลดเอกสารประกอบ")</f>
        <v>ดาวน์โหลดเอกสารประกอบ</v>
      </c>
      <c r="T17" s="83" t="str">
        <f>HYPERLINK("https://drive.google.com/folderview?id=0B0x_dulH5-nEbFFZSmZxSWRfaVU&amp;usp=sharing","ดาวน์โหลดเอกสารประกอบ")</f>
        <v>ดาวน์โหลดเอกสารประกอบ</v>
      </c>
      <c r="U17" s="98" t="str">
        <f>HYPERLINK("https://drive.google.com/folderview?id=0B0x_dulH5-nEVjlDVUhOTllnRjA&amp;usp=sharing","ดาวน์โหลดเอกสารประกอบ")</f>
        <v>ดาวน์โหลดเอกสารประกอบ</v>
      </c>
      <c r="V17" s="98" t="str">
        <f>HYPERLINK("https://drive.google.com/folderview?id=0B0x_dulH5-nEVUlJY3lqWWlRSFE&amp;usp=sharing","ดาวน์โหลดเอกสารประกอบ")</f>
        <v>ดาวน์โหลดเอกสารประกอบ</v>
      </c>
      <c r="W17" s="98" t="str">
        <f>HYPERLINK("https://drive.google.com/folderview?id=0B0x_dulH5-nEM2tGazJGeDlDemM&amp;usp=sharing","ดาวน์โหลดเอกสารประกอบ")</f>
        <v>ดาวน์โหลดเอกสารประกอบ</v>
      </c>
      <c r="X17" s="98" t="str">
        <f>HYPERLINK("https://drive.google.com/folderview?id=0B0x_dulH5-nEQ0xBMHEzRDhRTDQ&amp;usp=sharing","ดาวน์โหลดเอกสารประกอบ")</f>
        <v>ดาวน์โหลดเอกสารประกอบ</v>
      </c>
      <c r="Y17" s="98" t="str">
        <f>HYPERLINK("https://drive.google.com/folderview?id=0B0x_dulH5-nEMUxOay1TQTlNbk0&amp;usp=sharing","ดาวน์โหลดเอกสารประกอบ")</f>
        <v>ดาวน์โหลดเอกสารประกอบ</v>
      </c>
      <c r="Z17" s="98" t="str">
        <f>HYPERLINK("https://drive.google.com/folderview?id=0B0x_dulH5-nET1FibU8xT3VHQTg&amp;usp=sharing","ดาวน์โหลดเอกสารประกอบ")</f>
        <v>ดาวน์โหลดเอกสารประกอบ</v>
      </c>
    </row>
    <row r="18">
      <c r="A18" s="27"/>
      <c r="B18" s="5" t="s">
        <v>3</v>
      </c>
      <c r="C18" s="5" t="s">
        <v>4</v>
      </c>
      <c r="D18" s="12" t="s">
        <v>5</v>
      </c>
      <c r="E18" s="5" t="s">
        <v>6</v>
      </c>
      <c r="F18" s="5" t="s">
        <v>8</v>
      </c>
      <c r="G18" s="5" t="s">
        <v>9</v>
      </c>
      <c r="H18" s="14" t="s">
        <v>10</v>
      </c>
      <c r="I18" s="5" t="s">
        <v>11</v>
      </c>
      <c r="J18" s="12" t="s">
        <v>12</v>
      </c>
      <c r="K18" s="5" t="s">
        <v>13</v>
      </c>
      <c r="L18" s="5" t="s">
        <v>14</v>
      </c>
      <c r="M18" s="5" t="s">
        <v>15</v>
      </c>
      <c r="N18" s="5" t="s">
        <v>16</v>
      </c>
      <c r="O18" s="5" t="s">
        <v>17</v>
      </c>
      <c r="P18" s="5" t="s">
        <v>18</v>
      </c>
      <c r="Q18" s="5" t="s">
        <v>19</v>
      </c>
      <c r="R18" s="5" t="s">
        <v>20</v>
      </c>
      <c r="S18" s="5" t="s">
        <v>21</v>
      </c>
      <c r="T18" s="5" t="s">
        <v>22</v>
      </c>
      <c r="U18" s="5" t="s">
        <v>23</v>
      </c>
      <c r="V18" s="5" t="s">
        <v>24</v>
      </c>
      <c r="W18" s="138">
        <v>21.0</v>
      </c>
      <c r="X18" s="3"/>
      <c r="Y18" s="3"/>
      <c r="Z18" s="138">
        <v>25.0</v>
      </c>
    </row>
    <row r="19">
      <c r="A19" s="27"/>
      <c r="B19" s="13" t="s">
        <v>140</v>
      </c>
      <c r="C19" s="19" t="s">
        <v>39</v>
      </c>
      <c r="D19" s="19" t="s">
        <v>39</v>
      </c>
      <c r="E19" s="19" t="s">
        <v>41</v>
      </c>
      <c r="F19" s="19" t="s">
        <v>41</v>
      </c>
      <c r="G19" s="19" t="s">
        <v>41</v>
      </c>
      <c r="H19" s="139" t="s">
        <v>41</v>
      </c>
      <c r="I19" s="19" t="s">
        <v>41</v>
      </c>
      <c r="J19" s="140" t="s">
        <v>41</v>
      </c>
      <c r="K19" s="19" t="s">
        <v>42</v>
      </c>
      <c r="L19" s="19" t="s">
        <v>42</v>
      </c>
      <c r="M19" s="19" t="s">
        <v>42</v>
      </c>
      <c r="N19" s="19" t="s">
        <v>42</v>
      </c>
      <c r="O19" s="19" t="s">
        <v>42</v>
      </c>
      <c r="P19" s="19" t="s">
        <v>428</v>
      </c>
      <c r="Q19" s="19" t="s">
        <v>428</v>
      </c>
      <c r="R19" s="19" t="s">
        <v>428</v>
      </c>
      <c r="S19" s="19" t="s">
        <v>428</v>
      </c>
      <c r="T19" s="19" t="s">
        <v>428</v>
      </c>
      <c r="U19" s="19" t="s">
        <v>430</v>
      </c>
      <c r="V19" s="19" t="s">
        <v>430</v>
      </c>
      <c r="W19" s="140" t="s">
        <v>430</v>
      </c>
      <c r="X19" s="3"/>
      <c r="Y19" s="3"/>
      <c r="Z19" s="168" t="s">
        <v>43</v>
      </c>
    </row>
    <row r="20" ht="60.0" customHeight="1">
      <c r="A20" s="27"/>
      <c r="B20" s="29"/>
      <c r="C20" s="46" t="s">
        <v>432</v>
      </c>
      <c r="D20" s="46" t="s">
        <v>433</v>
      </c>
      <c r="E20" s="34" t="str">
        <f>HYPERLINK("https://www.youtube.com/watch?v=rexl024afPY&amp;feature=youtu.be","การบวกลบจำนวนไม่เกิน 100,000 การบวกที่ไม่มีตัวทด และการบวกที่มีตัวทด")</f>
        <v>การบวกลบจำนวนไม่เกิน 100,000 การบวกที่ไม่มีตัวทด และการบวกที่มีตัวทด</v>
      </c>
      <c r="F20" s="39" t="str">
        <f>HYPERLINK("https://www.youtube.com/watch?v=OzasRJkTQts","""การบวกการลบ จำนวนไม่เกิน 100,000:  การลบที่ไม่มีการกระจาย  และการลบที่มีการกระจาย""")</f>
        <v>"การบวกการลบ จำนวนไม่เกิน 100,000:  การลบที่ไม่มีการกระจาย  และการลบที่มีการกระจาย"</v>
      </c>
      <c r="G20" s="177" t="str">
        <f>HYPERLINK("https://www.youtube.com/watch?v=RKwzUWqdK7I","""การบวกการลบ จำนวนไม่เกิน 100,000:  โจทย์ปัญหาระคน""")</f>
        <v>"การบวกการลบ จำนวนไม่เกิน 100,000:  โจทย์ปัญหาระคน"</v>
      </c>
      <c r="H20" s="44" t="s">
        <v>446</v>
      </c>
      <c r="I20" s="46" t="s">
        <v>447</v>
      </c>
      <c r="J20" s="42" t="s">
        <v>448</v>
      </c>
      <c r="K20" s="143" t="s">
        <v>449</v>
      </c>
      <c r="L20" s="55" t="s">
        <v>450</v>
      </c>
      <c r="M20" s="55" t="s">
        <v>451</v>
      </c>
      <c r="N20" s="55" t="s">
        <v>74</v>
      </c>
      <c r="O20" s="46" t="s">
        <v>452</v>
      </c>
      <c r="P20" s="46" t="s">
        <v>453</v>
      </c>
      <c r="Q20" s="46" t="s">
        <v>454</v>
      </c>
      <c r="R20" s="46" t="s">
        <v>455</v>
      </c>
      <c r="S20" s="46" t="s">
        <v>456</v>
      </c>
      <c r="T20" s="46" t="s">
        <v>457</v>
      </c>
      <c r="U20" s="55" t="s">
        <v>459</v>
      </c>
      <c r="V20" s="55" t="s">
        <v>460</v>
      </c>
      <c r="W20" s="50" t="s">
        <v>461</v>
      </c>
      <c r="X20" s="3"/>
      <c r="Y20" s="3"/>
      <c r="Z20" s="55" t="s">
        <v>462</v>
      </c>
    </row>
    <row r="21">
      <c r="A21" s="27"/>
      <c r="B21" s="29"/>
      <c r="C21" s="70" t="s">
        <v>463</v>
      </c>
      <c r="D21" s="70" t="s">
        <v>463</v>
      </c>
      <c r="E21" s="10" t="s">
        <v>464</v>
      </c>
      <c r="F21" s="10" t="s">
        <v>464</v>
      </c>
      <c r="G21" s="10" t="s">
        <v>464</v>
      </c>
      <c r="H21" s="64" t="s">
        <v>465</v>
      </c>
      <c r="I21" s="66" t="s">
        <v>465</v>
      </c>
      <c r="J21" s="64" t="s">
        <v>465</v>
      </c>
      <c r="K21" s="75" t="s">
        <v>466</v>
      </c>
      <c r="L21" s="75" t="s">
        <v>466</v>
      </c>
      <c r="M21" s="75" t="s">
        <v>466</v>
      </c>
      <c r="N21" s="75" t="s">
        <v>466</v>
      </c>
      <c r="O21" s="75" t="s">
        <v>467</v>
      </c>
      <c r="P21" s="75" t="s">
        <v>467</v>
      </c>
      <c r="Q21" s="75" t="s">
        <v>468</v>
      </c>
      <c r="R21" s="75" t="s">
        <v>468</v>
      </c>
      <c r="S21" s="75" t="s">
        <v>467</v>
      </c>
      <c r="T21" s="75" t="s">
        <v>467</v>
      </c>
      <c r="U21" s="75" t="s">
        <v>469</v>
      </c>
      <c r="V21" s="75" t="s">
        <v>469</v>
      </c>
      <c r="W21" s="62" t="s">
        <v>469</v>
      </c>
      <c r="X21" s="3"/>
      <c r="Y21" s="3"/>
      <c r="Z21" s="178" t="s">
        <v>307</v>
      </c>
    </row>
    <row r="22">
      <c r="A22" s="27"/>
      <c r="B22" s="29"/>
      <c r="C22" s="147" t="s">
        <v>470</v>
      </c>
      <c r="D22" s="147" t="s">
        <v>470</v>
      </c>
      <c r="E22" s="10" t="s">
        <v>471</v>
      </c>
      <c r="F22" s="10" t="s">
        <v>471</v>
      </c>
      <c r="G22" s="10" t="s">
        <v>471</v>
      </c>
      <c r="H22" s="64" t="s">
        <v>120</v>
      </c>
      <c r="I22" s="66" t="s">
        <v>120</v>
      </c>
      <c r="J22" s="64" t="s">
        <v>120</v>
      </c>
      <c r="K22" s="75" t="s">
        <v>472</v>
      </c>
      <c r="L22" s="75" t="s">
        <v>472</v>
      </c>
      <c r="M22" s="75" t="s">
        <v>472</v>
      </c>
      <c r="N22" s="75" t="s">
        <v>472</v>
      </c>
      <c r="O22" s="75" t="s">
        <v>473</v>
      </c>
      <c r="P22" s="75" t="s">
        <v>473</v>
      </c>
      <c r="Q22" s="75" t="s">
        <v>473</v>
      </c>
      <c r="R22" s="75" t="s">
        <v>473</v>
      </c>
      <c r="S22" s="75" t="s">
        <v>473</v>
      </c>
      <c r="T22" s="75" t="s">
        <v>473</v>
      </c>
      <c r="U22" s="75" t="s">
        <v>474</v>
      </c>
      <c r="V22" s="75" t="s">
        <v>474</v>
      </c>
      <c r="W22" s="75" t="s">
        <v>474</v>
      </c>
      <c r="X22" s="3"/>
      <c r="Y22" s="3"/>
      <c r="Z22" s="66" t="s">
        <v>313</v>
      </c>
    </row>
    <row r="23">
      <c r="A23" s="27"/>
      <c r="B23" s="29"/>
      <c r="C23" s="52" t="s">
        <v>314</v>
      </c>
      <c r="D23" s="52" t="s">
        <v>314</v>
      </c>
      <c r="E23" s="10" t="s">
        <v>235</v>
      </c>
      <c r="F23" s="10" t="s">
        <v>235</v>
      </c>
      <c r="G23" s="10" t="s">
        <v>235</v>
      </c>
      <c r="H23" s="64" t="s">
        <v>131</v>
      </c>
      <c r="I23" s="66" t="s">
        <v>131</v>
      </c>
      <c r="J23" s="64" t="s">
        <v>131</v>
      </c>
      <c r="K23" s="75" t="s">
        <v>105</v>
      </c>
      <c r="L23" s="75" t="s">
        <v>105</v>
      </c>
      <c r="M23" s="75" t="s">
        <v>105</v>
      </c>
      <c r="N23" s="75" t="s">
        <v>105</v>
      </c>
      <c r="O23" s="75" t="s">
        <v>477</v>
      </c>
      <c r="P23" s="75" t="s">
        <v>477</v>
      </c>
      <c r="Q23" s="75" t="s">
        <v>477</v>
      </c>
      <c r="R23" s="75" t="s">
        <v>477</v>
      </c>
      <c r="S23" s="75" t="s">
        <v>477</v>
      </c>
      <c r="T23" s="75" t="s">
        <v>477</v>
      </c>
      <c r="U23" s="75" t="s">
        <v>480</v>
      </c>
      <c r="V23" s="75" t="s">
        <v>480</v>
      </c>
      <c r="W23" s="75" t="s">
        <v>480</v>
      </c>
      <c r="X23" s="3"/>
      <c r="Y23" s="3"/>
      <c r="Z23" s="75" t="s">
        <v>105</v>
      </c>
    </row>
    <row r="24">
      <c r="A24" s="27"/>
      <c r="B24" s="29"/>
      <c r="C24" s="91" t="s">
        <v>481</v>
      </c>
      <c r="D24" s="91" t="s">
        <v>482</v>
      </c>
      <c r="E24" s="91" t="s">
        <v>484</v>
      </c>
      <c r="F24" s="91" t="s">
        <v>485</v>
      </c>
      <c r="G24" s="91" t="s">
        <v>486</v>
      </c>
      <c r="H24" s="87" t="s">
        <v>487</v>
      </c>
      <c r="I24" s="69" t="s">
        <v>488</v>
      </c>
      <c r="J24" s="85" t="s">
        <v>489</v>
      </c>
      <c r="K24" s="179" t="s">
        <v>493</v>
      </c>
      <c r="L24" s="91" t="s">
        <v>498</v>
      </c>
      <c r="M24" s="91" t="s">
        <v>499</v>
      </c>
      <c r="N24" s="180" t="s">
        <v>500</v>
      </c>
      <c r="O24" s="91" t="s">
        <v>501</v>
      </c>
      <c r="P24" s="91" t="s">
        <v>503</v>
      </c>
      <c r="Q24" s="91" t="s">
        <v>504</v>
      </c>
      <c r="R24" s="181" t="s">
        <v>505</v>
      </c>
      <c r="S24" s="91" t="s">
        <v>506</v>
      </c>
      <c r="T24" s="91" t="s">
        <v>510</v>
      </c>
      <c r="U24" s="91" t="s">
        <v>512</v>
      </c>
      <c r="V24" s="91" t="s">
        <v>514</v>
      </c>
      <c r="W24" s="78" t="s">
        <v>516</v>
      </c>
      <c r="X24" s="3"/>
      <c r="Y24" s="3"/>
      <c r="Z24" s="91" t="s">
        <v>517</v>
      </c>
    </row>
    <row r="25">
      <c r="A25" s="27"/>
      <c r="B25" s="79"/>
      <c r="C25" s="152" t="s">
        <v>31</v>
      </c>
      <c r="D25" s="152" t="s">
        <v>195</v>
      </c>
      <c r="E25" s="152" t="s">
        <v>31</v>
      </c>
      <c r="F25" s="152" t="s">
        <v>31</v>
      </c>
      <c r="G25" s="152" t="s">
        <v>31</v>
      </c>
      <c r="H25" s="106" t="str">
        <f>HYPERLINK("https://drive.google.com/folderview?id=0BydHLJgPtYsXfnZnbFY4OXVUSHFpaEhRcXFremhzcjVtSExaNVdQdXpDSDE4WUFmRTRfeVU&amp;usp=sharing","ดาวน์โหลดเอกสารประกอบ")</f>
        <v>ดาวน์โหลดเอกสารประกอบ</v>
      </c>
      <c r="I25" s="83" t="str">
        <f>HYPERLINK("https://drive.google.com/folderview?id=0BydHLJgPtYsXfk1zTU1JZmFqaFdJbjQ2QWtQNy1ZeFZiYUpSMTdJRXcxSVBQNm42NXVtUkk&amp;usp=sharing","ดาวน์โหลดเอกสารประกอบ")</f>
        <v>ดาวน์โหลดเอกสารประกอบ</v>
      </c>
      <c r="J25" s="110" t="str">
        <f>HYPERLINK("https://drive.google.com/folderview?id=0BydHLJgPtYsXfjhQQmU4UzZITW13OE1hUkU4NHRLUVlLUlk5bWJNRXk1bVhZeU1qOWNkQU0&amp;usp=sharing","ดาวน์โหลดเอกสารประกอบ")</f>
        <v>ดาวน์โหลดเอกสารประกอบ</v>
      </c>
      <c r="K25" s="152" t="s">
        <v>31</v>
      </c>
      <c r="L25" s="152" t="s">
        <v>31</v>
      </c>
      <c r="M25" s="152" t="s">
        <v>31</v>
      </c>
      <c r="N25" s="152" t="s">
        <v>31</v>
      </c>
      <c r="O25" s="98" t="str">
        <f>HYPERLINK("https://drive.google.com/folderview?id=0B4mky1MMW8dYfmdwNFUxcDc0dTR3RDNsUVhEU05uZEE2azVWaG83SmJ3Q2dWbXJETDZxX2c&amp;usp=sharing","ดาวน์โหลดเอกสารประกอบ")</f>
        <v>ดาวน์โหลดเอกสารประกอบ</v>
      </c>
      <c r="P25" s="98" t="str">
        <f>HYPERLINK("https://drive.google.com/folderview?id=0B4mky1MMW8dYfl8xaC05TVBNMlJJSXVsTkk5djVoTTI4MHpIN0pHck4ya1ZaLXpHZmVIY1U&amp;usp=sharing","ดาวน์โหลดเอกสารประกอบ")</f>
        <v>ดาวน์โหลดเอกสารประกอบ</v>
      </c>
      <c r="Q25" s="98" t="str">
        <f>HYPERLINK("https://drive.google.com/folderview?id=0BydHLJgPtYsXfk9BMjhMa1NsRmtKTVkyZ1FHS015WE5MaUdPTnpMb2Yxc0c3NlFTMENzZmc&amp;usp=sharing","ดาวน์โหลดเอกสารประกอบ")</f>
        <v>ดาวน์โหลดเอกสารประกอบ</v>
      </c>
      <c r="R25" s="83" t="str">
        <f>HYPERLINK("https://drive.google.com/folderview?id=0BydHLJgPtYsXfmN5WFA0V0JuMklaUno3NU4tT09iejBtZ01tV0dtVHdTYmhDMkFtN1hnR0U&amp;usp=sharing","ดาวน์โหลดเอกสารประกอบ")</f>
        <v>ดาวน์โหลดเอกสารประกอบ</v>
      </c>
      <c r="S25" s="98" t="str">
        <f>HYPERLINK("https://drive.google.com/folderview?id=0B4mky1MMW8dYfjNIVG93Zlc0LVRuM1BRZkJGT1dvQnNKR0d4MlEzNGFwLUU1amotRHBZRE0&amp;usp=sharing","ดาวน์โหลดเอกสารประกอบ")</f>
        <v>ดาวน์โหลดเอกสารประกอบ</v>
      </c>
      <c r="T25" s="98" t="str">
        <f>HYPERLINK("https://drive.google.com/folderview?id=0B4mky1MMW8dYfjBRT0VsbWpHSnZGcEd1TGdRdzhId0JsQjNsek8yQzVsNGh0aFVYV0lfZnM&amp;usp=sharing","ดาวน์โหลดเอกสารประกอบ")</f>
        <v>ดาวน์โหลดเอกสารประกอบ</v>
      </c>
      <c r="U25" s="152" t="s">
        <v>31</v>
      </c>
      <c r="V25" s="98" t="str">
        <f>HYPERLINK("https://drive.google.com/folderview?id=0B0x_dulH5-nEfkJRNWJLelBFOVZDTmJkRWFGYnozS1pTaDRhc1lqRFBINFJqNGJhY2xwUWc&amp;usp=sharing","ดาวน์โหลดเอกสารประกอบ")</f>
        <v>ดาวน์โหลดเอกสารประกอบ</v>
      </c>
      <c r="W25" s="98" t="str">
        <f>HYPERLINK("https://drive.google.com/folderview?id=0B0x_dulH5-nEfmJ2Z2ZteUpPSEtZUmlLYnVqTC1tRWJJTFgybl9TZXF0bUtSWDktSzNEWG8&amp;usp=sharing","ดาวน์โหลดเอกสารประกอบ")</f>
        <v>ดาวน์โหลดเอกสารประกอบ</v>
      </c>
      <c r="X25" s="3"/>
      <c r="Y25" s="3"/>
      <c r="Z25" s="98" t="str">
        <f>HYPERLINK("https://drive.google.com/folderview?id=0B0x_dulH5-nEQjJCV3FnMnJvdlk&amp;usp=sharing","ดาวน์โหลดเอกสารประกอบ")</f>
        <v>ดาวน์โหลดเอกสารประกอบ</v>
      </c>
    </row>
    <row r="26">
      <c r="A26" s="27"/>
      <c r="B26" s="5" t="s">
        <v>3</v>
      </c>
      <c r="C26" s="5" t="s">
        <v>4</v>
      </c>
      <c r="D26" s="12" t="s">
        <v>5</v>
      </c>
      <c r="E26" s="7" t="s">
        <v>6</v>
      </c>
      <c r="F26" s="5" t="s">
        <v>8</v>
      </c>
      <c r="G26" s="5" t="s">
        <v>9</v>
      </c>
      <c r="H26" s="14" t="s">
        <v>10</v>
      </c>
      <c r="I26" s="5" t="s">
        <v>11</v>
      </c>
      <c r="J26" s="12" t="s">
        <v>12</v>
      </c>
      <c r="K26" s="5" t="s">
        <v>13</v>
      </c>
      <c r="L26" s="5" t="s">
        <v>14</v>
      </c>
      <c r="M26" s="5" t="s">
        <v>15</v>
      </c>
      <c r="N26" s="5" t="s">
        <v>16</v>
      </c>
      <c r="O26" s="5" t="s">
        <v>17</v>
      </c>
      <c r="P26" s="5" t="s">
        <v>18</v>
      </c>
      <c r="Q26" s="5" t="s">
        <v>19</v>
      </c>
      <c r="R26" s="5" t="s">
        <v>20</v>
      </c>
      <c r="S26" s="5" t="s">
        <v>21</v>
      </c>
      <c r="T26" s="5" t="s">
        <v>22</v>
      </c>
      <c r="U26" s="5" t="s">
        <v>23</v>
      </c>
      <c r="V26" s="5" t="s">
        <v>24</v>
      </c>
      <c r="W26" s="138">
        <v>21.0</v>
      </c>
      <c r="X26" s="3"/>
      <c r="Y26" s="3"/>
      <c r="Z26" s="3"/>
    </row>
    <row r="27">
      <c r="A27" s="27"/>
      <c r="B27" s="13" t="s">
        <v>159</v>
      </c>
      <c r="C27" s="19" t="s">
        <v>39</v>
      </c>
      <c r="D27" s="139" t="s">
        <v>41</v>
      </c>
      <c r="E27" s="19" t="s">
        <v>41</v>
      </c>
      <c r="F27" s="26" t="s">
        <v>41</v>
      </c>
      <c r="G27" s="19" t="s">
        <v>41</v>
      </c>
      <c r="H27" s="28" t="s">
        <v>41</v>
      </c>
      <c r="I27" s="19" t="s">
        <v>41</v>
      </c>
      <c r="J27" s="195"/>
      <c r="K27" s="19" t="s">
        <v>41</v>
      </c>
      <c r="L27" s="19" t="s">
        <v>41</v>
      </c>
      <c r="M27" s="19" t="s">
        <v>41</v>
      </c>
      <c r="N27" s="19" t="s">
        <v>41</v>
      </c>
      <c r="O27" s="19" t="s">
        <v>41</v>
      </c>
      <c r="P27" s="19" t="s">
        <v>43</v>
      </c>
      <c r="Q27" s="19" t="s">
        <v>43</v>
      </c>
      <c r="R27" s="19" t="s">
        <v>43</v>
      </c>
      <c r="S27" s="19" t="s">
        <v>43</v>
      </c>
      <c r="T27" s="19" t="s">
        <v>430</v>
      </c>
      <c r="U27" s="19" t="s">
        <v>430</v>
      </c>
      <c r="V27" s="19" t="s">
        <v>561</v>
      </c>
      <c r="W27" s="19" t="s">
        <v>561</v>
      </c>
      <c r="X27" s="3"/>
      <c r="Y27" s="3"/>
      <c r="Z27" s="3"/>
    </row>
    <row r="28" ht="90.0" customHeight="1">
      <c r="A28" s="27"/>
      <c r="B28" s="29"/>
      <c r="C28" s="34" t="str">
        <f>HYPERLINK("https://www.youtube.com/watch?v=exgCl9eY11I","ค่าของเลขโดด")</f>
        <v>ค่าของเลขโดด</v>
      </c>
      <c r="D28" s="44" t="s">
        <v>567</v>
      </c>
      <c r="E28" s="46" t="s">
        <v>569</v>
      </c>
      <c r="F28" s="48" t="s">
        <v>572</v>
      </c>
      <c r="G28" s="199" t="s">
        <v>574</v>
      </c>
      <c r="H28" s="200" t="s">
        <v>587</v>
      </c>
      <c r="I28" s="55" t="s">
        <v>590</v>
      </c>
      <c r="J28" s="48" t="s">
        <v>591</v>
      </c>
      <c r="K28" s="55" t="s">
        <v>592</v>
      </c>
      <c r="L28" s="55" t="s">
        <v>594</v>
      </c>
      <c r="M28" s="46" t="s">
        <v>295</v>
      </c>
      <c r="N28" s="46" t="s">
        <v>595</v>
      </c>
      <c r="O28" s="46" t="s">
        <v>596</v>
      </c>
      <c r="P28" s="55" t="s">
        <v>597</v>
      </c>
      <c r="Q28" s="46" t="s">
        <v>598</v>
      </c>
      <c r="R28" s="55" t="s">
        <v>599</v>
      </c>
      <c r="S28" s="46" t="s">
        <v>600</v>
      </c>
      <c r="T28" s="55" t="s">
        <v>601</v>
      </c>
      <c r="U28" s="55" t="s">
        <v>602</v>
      </c>
      <c r="V28" s="46" t="s">
        <v>603</v>
      </c>
      <c r="W28" s="46" t="s">
        <v>604</v>
      </c>
      <c r="X28" s="3"/>
      <c r="Y28" s="3"/>
      <c r="Z28" s="3"/>
    </row>
    <row r="29">
      <c r="A29" s="27"/>
      <c r="B29" s="29"/>
      <c r="C29" s="75" t="s">
        <v>605</v>
      </c>
      <c r="D29" s="202" t="s">
        <v>606</v>
      </c>
      <c r="E29" s="75" t="s">
        <v>606</v>
      </c>
      <c r="F29" s="203" t="s">
        <v>609</v>
      </c>
      <c r="G29" s="54" t="s">
        <v>609</v>
      </c>
      <c r="H29" s="53" t="s">
        <v>609</v>
      </c>
      <c r="I29" s="54" t="s">
        <v>609</v>
      </c>
      <c r="J29" s="203" t="s">
        <v>609</v>
      </c>
      <c r="K29" s="64" t="s">
        <v>610</v>
      </c>
      <c r="L29" s="64" t="s">
        <v>610</v>
      </c>
      <c r="M29" s="75" t="s">
        <v>606</v>
      </c>
      <c r="N29" s="64" t="s">
        <v>610</v>
      </c>
      <c r="O29" s="75" t="s">
        <v>606</v>
      </c>
      <c r="P29" s="75" t="s">
        <v>611</v>
      </c>
      <c r="Q29" s="75" t="s">
        <v>611</v>
      </c>
      <c r="R29" s="75" t="s">
        <v>611</v>
      </c>
      <c r="S29" s="75" t="s">
        <v>611</v>
      </c>
      <c r="T29" s="75" t="s">
        <v>612</v>
      </c>
      <c r="U29" s="75" t="s">
        <v>613</v>
      </c>
      <c r="V29" s="10"/>
      <c r="W29" s="10"/>
      <c r="X29" s="3"/>
      <c r="Y29" s="3"/>
      <c r="Z29" s="3"/>
    </row>
    <row r="30">
      <c r="A30" s="27"/>
      <c r="B30" s="29"/>
      <c r="C30" s="75" t="s">
        <v>618</v>
      </c>
      <c r="D30" s="202" t="s">
        <v>312</v>
      </c>
      <c r="E30" s="75" t="s">
        <v>312</v>
      </c>
      <c r="F30" s="203" t="s">
        <v>619</v>
      </c>
      <c r="G30" s="54" t="s">
        <v>619</v>
      </c>
      <c r="H30" s="53" t="s">
        <v>619</v>
      </c>
      <c r="I30" s="54" t="s">
        <v>619</v>
      </c>
      <c r="J30" s="203" t="s">
        <v>619</v>
      </c>
      <c r="K30" s="64" t="s">
        <v>620</v>
      </c>
      <c r="L30" s="64" t="s">
        <v>620</v>
      </c>
      <c r="M30" s="75" t="s">
        <v>312</v>
      </c>
      <c r="N30" s="64" t="s">
        <v>593</v>
      </c>
      <c r="O30" s="75" t="s">
        <v>312</v>
      </c>
      <c r="P30" s="75" t="s">
        <v>621</v>
      </c>
      <c r="Q30" s="75" t="s">
        <v>621</v>
      </c>
      <c r="R30" s="75" t="s">
        <v>621</v>
      </c>
      <c r="S30" s="75" t="s">
        <v>621</v>
      </c>
      <c r="T30" s="75" t="s">
        <v>623</v>
      </c>
      <c r="U30" s="75" t="s">
        <v>623</v>
      </c>
      <c r="V30" s="10"/>
      <c r="W30" s="10"/>
      <c r="X30" s="3"/>
      <c r="Y30" s="3"/>
      <c r="Z30" s="3"/>
    </row>
    <row r="31">
      <c r="A31" s="27"/>
      <c r="B31" s="29"/>
      <c r="C31" s="75" t="s">
        <v>625</v>
      </c>
      <c r="D31" s="204" t="s">
        <v>105</v>
      </c>
      <c r="E31" s="75" t="s">
        <v>105</v>
      </c>
      <c r="F31" s="203" t="s">
        <v>628</v>
      </c>
      <c r="G31" s="54" t="s">
        <v>628</v>
      </c>
      <c r="H31" s="53" t="s">
        <v>628</v>
      </c>
      <c r="I31" s="54" t="s">
        <v>628</v>
      </c>
      <c r="J31" s="203" t="s">
        <v>628</v>
      </c>
      <c r="K31" s="64" t="s">
        <v>608</v>
      </c>
      <c r="L31" s="64" t="s">
        <v>608</v>
      </c>
      <c r="M31" s="75" t="s">
        <v>105</v>
      </c>
      <c r="N31" s="64" t="s">
        <v>608</v>
      </c>
      <c r="O31" s="75" t="s">
        <v>105</v>
      </c>
      <c r="P31" s="75" t="s">
        <v>130</v>
      </c>
      <c r="Q31" s="75" t="s">
        <v>130</v>
      </c>
      <c r="R31" s="75" t="s">
        <v>130</v>
      </c>
      <c r="S31" s="75" t="s">
        <v>130</v>
      </c>
      <c r="T31" s="75" t="s">
        <v>480</v>
      </c>
      <c r="U31" s="75" t="s">
        <v>480</v>
      </c>
      <c r="V31" s="10"/>
      <c r="W31" s="10"/>
      <c r="X31" s="3"/>
      <c r="Y31" s="3"/>
      <c r="Z31" s="3"/>
    </row>
    <row r="32">
      <c r="A32" s="27"/>
      <c r="B32" s="29"/>
      <c r="C32" s="205" t="s">
        <v>633</v>
      </c>
      <c r="D32" s="87" t="s">
        <v>640</v>
      </c>
      <c r="E32" s="69" t="s">
        <v>643</v>
      </c>
      <c r="F32" s="85" t="s">
        <v>645</v>
      </c>
      <c r="G32" s="208" t="s">
        <v>646</v>
      </c>
      <c r="H32" s="87" t="s">
        <v>647</v>
      </c>
      <c r="I32" s="69" t="s">
        <v>648</v>
      </c>
      <c r="J32" s="210" t="s">
        <v>649</v>
      </c>
      <c r="K32" s="91" t="s">
        <v>651</v>
      </c>
      <c r="L32" s="91" t="s">
        <v>652</v>
      </c>
      <c r="M32" s="91" t="s">
        <v>653</v>
      </c>
      <c r="N32" s="91" t="s">
        <v>654</v>
      </c>
      <c r="O32" s="91" t="s">
        <v>655</v>
      </c>
      <c r="P32" s="91" t="s">
        <v>656</v>
      </c>
      <c r="Q32" s="91" t="s">
        <v>657</v>
      </c>
      <c r="R32" s="91" t="s">
        <v>658</v>
      </c>
      <c r="S32" s="91" t="s">
        <v>659</v>
      </c>
      <c r="T32" s="91" t="s">
        <v>660</v>
      </c>
      <c r="U32" s="91" t="s">
        <v>662</v>
      </c>
      <c r="V32" s="211"/>
      <c r="W32" s="211"/>
      <c r="X32" s="3"/>
      <c r="Y32" s="3"/>
      <c r="Z32" s="3"/>
    </row>
    <row r="33">
      <c r="A33" s="27"/>
      <c r="B33" s="79"/>
      <c r="C33" s="152" t="s">
        <v>31</v>
      </c>
      <c r="D33" s="213" t="s">
        <v>31</v>
      </c>
      <c r="E33" s="94" t="s">
        <v>31</v>
      </c>
      <c r="F33" s="110" t="str">
        <f>HYPERLINK("https://drive.google.com/folderview?id=0B0x_dulH5-nEfjR3ZHAxS3ZjUzYxb2ZyNnBvMHRQS25IZXJ2RGUtYUdnV252aGJRdmNwMEU&amp;usp=sharing","ดาวน์โหลดเอกสารประกอบ")</f>
        <v>ดาวน์โหลดเอกสารประกอบ</v>
      </c>
      <c r="G33" s="98" t="str">
        <f>HYPERLINK("https://drive.google.com/folderview?id=0B0x_dulH5-nEfjJJY0Q5bEx6Ti1fOTlodkVRSDZ3aW9WTVFkSVRYSTlUQWd6ZTZPSDV4Mjg&amp;usp=sharing","ดาวน์โหลดเอกสารประกอบ")</f>
        <v>ดาวน์โหลดเอกสารประกอบ</v>
      </c>
      <c r="H33" s="106" t="str">
        <f>HYPERLINK("https://drive.google.com/folderview?id=0B0x_dulH5-nEfkxkNXlTd29PWThPQ0pWOGZNRE5POGQzcVF2OTZodHlXZ2pXbHFYcHRlRVk&amp;usp=sharing","ดาวน์โหลดเอกสารประกอบ")</f>
        <v>ดาวน์โหลดเอกสารประกอบ</v>
      </c>
      <c r="I33" s="83" t="str">
        <f>HYPERLINK("https://drive.google.com/folderview?id=0B0x_dulH5-nEfkh3ZXhPOV85UE4zWkQzX2lndVc2NXoyNTRKdmtxLVlLc21yV0VVXzF5UFk&amp;usp=sharing","ดาวน์โหลดเอกสารประกอบ")</f>
        <v>ดาวน์โหลดเอกสารประกอบ</v>
      </c>
      <c r="J33" s="112" t="str">
        <f>HYPERLINK("https://drive.google.com/folderview?id=0B0x_dulH5-nEfjZXaGlJM25MT1BlT1RBNWpySDY5UEFmdVVwaE9RNGJiVWdlWWlNZUtrNms&amp;usp=sharing","ดาวน์โหลดเอกสารประกอบ")</f>
        <v>ดาวน์โหลดเอกสารประกอบ</v>
      </c>
      <c r="K33" s="98" t="str">
        <f>HYPERLINK("https://drive.google.com/folderview?id=0B4mky1MMW8dYfmFhcUV5YWtlaDdZWGVlZU9qdlBBM01UcWp3dThxZWd4a2NPNWRaOFNxLW8&amp;usp=sharing","ดาวน์โหลดเอกสารประกอบ")</f>
        <v>ดาวน์โหลดเอกสารประกอบ</v>
      </c>
      <c r="L33" s="98" t="str">
        <f>HYPERLINK("https://drive.google.com/folderview?id=0B4mky1MMW8dYfm9tWTBHYXVsUkkzZEdBalJMdk1KRXlFNWNDWGVfMlVnNG02S0pWZDlxdTQ&amp;usp=sharing","ดาวน์โหลดเอกสารประกอบ")</f>
        <v>ดาวน์โหลดเอกสารประกอบ</v>
      </c>
      <c r="M33" s="152" t="s">
        <v>31</v>
      </c>
      <c r="N33" s="98" t="str">
        <f>HYPERLINK("https://drive.google.com/folderview?id=0B4mky1MMW8dYfnZzclFSaW04aHBldTRLVm9GeFVVV0lsd1pLVEF1ZVBUQ3F5aG5hc1R6OTQ&amp;usp=sharing","ดาวน์โหลดเอกสารประกอบ")</f>
        <v>ดาวน์โหลดเอกสารประกอบ</v>
      </c>
      <c r="O33" s="152" t="s">
        <v>31</v>
      </c>
      <c r="P33" s="98" t="str">
        <f>HYPERLINK("https://drive.google.com/folderview?id=0B4mky1MMW8dYfnBBclFPemsyc29pMXBZYnc2akRNLW4zbHpPR0d1Uk9xMHlfeWlSOUcwSjA&amp;usp=sharing","ดาวน์โหลดเอกสารประกอบ")</f>
        <v>ดาวน์โหลดเอกสารประกอบ</v>
      </c>
      <c r="Q33" s="98" t="str">
        <f>HYPERLINK("https://drive.google.com/folderview?id=0B4mky1MMW8dYfm1jRVNLOXFZMUZ3OU1USWlDU1VTTlRHVHFYX3FEdXFmcHNoS3BXaXRRTGc&amp;usp=sharing","ดาวน์โหลดเอกสารประกอบ")</f>
        <v>ดาวน์โหลดเอกสารประกอบ</v>
      </c>
      <c r="R33" s="98" t="str">
        <f>HYPERLINK("https://drive.google.com/folderview?id=0B4mky1MMW8dYfk5RMHl6dEhzY3FSa2t5OUxpM3NPQTRNQWkyRjd0UnYzcnQteEZqNVNFNVU&amp;usp=sharing","ดาวน์โหลดเอกสารประกอบ")</f>
        <v>ดาวน์โหลดเอกสารประกอบ</v>
      </c>
      <c r="S33" s="98" t="str">
        <f>HYPERLINK("https://drive.google.com/folderview?id=0B4mky1MMW8dYfmxuSUtBd2Z1anYzNHktTlVGTHktejlCNGE1T2lsZjV2M1VJOE9BcHpIVGc&amp;usp=sharing","ดาวน์โหลดเอกสารประกอบ")</f>
        <v>ดาวน์โหลดเอกสารประกอบ</v>
      </c>
      <c r="T33" s="98" t="str">
        <f>HYPERLINK("https://drive.google.com/folderview?id=0B0x_dulH5-nEfmlCMWJTRmQ1Mk1MWHA0Q1RBNHJwdHIxNWVDVlh2ZTFQUUtPVmExT1llVEk&amp;usp=sharing","ดาวน์โหลดเอกสารประกอบ")</f>
        <v>ดาวน์โหลดเอกสารประกอบ</v>
      </c>
      <c r="U33" s="98" t="str">
        <f>HYPERLINK("https://drive.google.com/folderview?id=0B0x_dulH5-nEfmI3Y05JVEZSdUNLMWNJYWFCZ0ZzcEZKekttdVp4OEMzQ1ctWXRsbmZnM2c&amp;usp=sharing","ดาวน์โหลดเอกสารประกอบ")</f>
        <v>ดาวน์โหลดเอกสารประกอบ</v>
      </c>
      <c r="V33" s="152" t="s">
        <v>195</v>
      </c>
      <c r="W33" s="152" t="s">
        <v>195</v>
      </c>
      <c r="X33" s="3"/>
      <c r="Y33" s="3"/>
      <c r="Z33" s="3"/>
    </row>
    <row r="34">
      <c r="A34" s="27"/>
      <c r="B34" s="5" t="s">
        <v>3</v>
      </c>
      <c r="C34" s="5" t="s">
        <v>4</v>
      </c>
      <c r="D34" s="12" t="s">
        <v>5</v>
      </c>
      <c r="E34" s="117" t="s">
        <v>6</v>
      </c>
      <c r="F34" s="5" t="s">
        <v>8</v>
      </c>
      <c r="G34" s="5" t="s">
        <v>9</v>
      </c>
      <c r="H34" s="14" t="s">
        <v>10</v>
      </c>
      <c r="I34" s="5" t="s">
        <v>11</v>
      </c>
      <c r="J34" s="12" t="s">
        <v>12</v>
      </c>
      <c r="K34" s="5" t="s">
        <v>13</v>
      </c>
      <c r="L34" s="5" t="s">
        <v>14</v>
      </c>
      <c r="M34" s="5" t="s">
        <v>15</v>
      </c>
      <c r="N34" s="5" t="s">
        <v>16</v>
      </c>
      <c r="O34" s="5" t="s">
        <v>17</v>
      </c>
      <c r="P34" s="5" t="s">
        <v>18</v>
      </c>
      <c r="Q34" s="5" t="s">
        <v>19</v>
      </c>
      <c r="R34" s="5" t="s">
        <v>20</v>
      </c>
      <c r="S34" s="5" t="s">
        <v>21</v>
      </c>
      <c r="T34" s="5" t="s">
        <v>22</v>
      </c>
      <c r="U34" s="5" t="s">
        <v>23</v>
      </c>
      <c r="V34" s="5" t="s">
        <v>24</v>
      </c>
      <c r="W34" s="3"/>
      <c r="X34" s="3"/>
      <c r="Y34" s="3"/>
      <c r="Z34" s="3"/>
    </row>
    <row r="35">
      <c r="A35" s="27"/>
      <c r="B35" s="13" t="s">
        <v>175</v>
      </c>
      <c r="C35" s="19" t="s">
        <v>39</v>
      </c>
      <c r="D35" s="19" t="s">
        <v>39</v>
      </c>
      <c r="E35" s="19" t="s">
        <v>39</v>
      </c>
      <c r="F35" s="19" t="s">
        <v>39</v>
      </c>
      <c r="G35" s="19" t="s">
        <v>39</v>
      </c>
      <c r="H35" s="139" t="s">
        <v>39</v>
      </c>
      <c r="I35" s="19" t="s">
        <v>39</v>
      </c>
      <c r="J35" s="140" t="s">
        <v>39</v>
      </c>
      <c r="K35" s="19" t="s">
        <v>743</v>
      </c>
      <c r="L35" s="19" t="s">
        <v>42</v>
      </c>
      <c r="M35" s="19" t="s">
        <v>42</v>
      </c>
      <c r="N35" s="19" t="s">
        <v>42</v>
      </c>
      <c r="O35" s="19" t="s">
        <v>744</v>
      </c>
      <c r="P35" s="141" t="s">
        <v>39</v>
      </c>
      <c r="Q35" s="141" t="s">
        <v>39</v>
      </c>
      <c r="R35" s="141" t="s">
        <v>39</v>
      </c>
      <c r="S35" s="141" t="s">
        <v>43</v>
      </c>
      <c r="T35" s="141" t="s">
        <v>43</v>
      </c>
      <c r="U35" s="141" t="s">
        <v>43</v>
      </c>
      <c r="V35" s="141" t="s">
        <v>43</v>
      </c>
      <c r="W35" s="3"/>
      <c r="X35" s="3"/>
      <c r="Y35" s="3"/>
      <c r="Z35" s="3"/>
    </row>
    <row r="36" ht="60.0" customHeight="1">
      <c r="A36" s="27"/>
      <c r="B36" s="29"/>
      <c r="C36" s="220" t="str">
        <f>HYPERLINK("https://www.youtube.com/watch?v=E8IKNnZdXds","""โจทย์การบวก ลบ  จำนวนนับที่มากกว่า 5 หลักขึ้นไป โดยวิธีการกระจายและวิธีลัด")</f>
        <v>"โจทย์การบวก ลบ  จำนวนนับที่มากกว่า 5 หลักขึ้นไป โดยวิธีการกระจายและวิธีลัด</v>
      </c>
      <c r="D36" s="177" t="str">
        <f>HYPERLINK("https://www.youtube.com/watch?v=ZnExzOop9-I","""การคูณ ที่มีตัวคูณมากกว่า 2 หลัก โดยการกระจาย""")</f>
        <v>"การคูณ ที่มีตัวคูณมากกว่า 2 หลัก โดยการกระจาย"</v>
      </c>
      <c r="E36" s="221" t="str">
        <f>HYPERLINK("https://www.youtube.com/watch?v=Gb62u1rHuxs","""การคูณ ที่มีตัวคูณมากกว่า 2 หลัก โดยวิธีลัด""")</f>
        <v>"การคูณ ที่มีตัวคูณมากกว่า 2 หลัก โดยวิธีลัด"</v>
      </c>
      <c r="F36" s="221" t="str">
        <f>HYPERLINK("https://www.youtube.com/watch?v=fkIFXe5f5a8","""การหาร ที่หารได้ลงตัวและหารไม่ลงตัว""")</f>
        <v>"การหาร ที่หารได้ลงตัวและหารไม่ลงตัว"</v>
      </c>
      <c r="G36" s="221" t="str">
        <f>HYPERLINK("https://www.youtube.com/watch?v=UsfsRoRibJo","""การวิเคราะห์โจทย์ปัญหา และเขียนแทนด้วย ประโยคสัญลักษณ์""")</f>
        <v>"การวิเคราะห์โจทย์ปัญหา และเขียนแทนด้วย ประโยคสัญลักษณ์"</v>
      </c>
      <c r="H36" s="220" t="str">
        <f>HYPERLINK("https://www.youtube.com/watch?v=zUIo3VAewfs","""การวิเคราะห์และแสดง วิธีหาคำตอบของโจทย์ปัญหาระคน การบวก การลบ""")</f>
        <v>"การวิเคราะห์และแสดง วิธีหาคำตอบของโจทย์ปัญหาระคน การบวก การลบ"</v>
      </c>
      <c r="I36" s="46" t="s">
        <v>745</v>
      </c>
      <c r="J36" s="42" t="s">
        <v>746</v>
      </c>
      <c r="K36" s="55" t="s">
        <v>747</v>
      </c>
      <c r="L36" s="46" t="s">
        <v>748</v>
      </c>
      <c r="M36" s="46" t="s">
        <v>749</v>
      </c>
      <c r="N36" s="46" t="s">
        <v>750</v>
      </c>
      <c r="O36" s="46" t="s">
        <v>751</v>
      </c>
      <c r="P36" s="55" t="s">
        <v>752</v>
      </c>
      <c r="Q36" s="55" t="s">
        <v>753</v>
      </c>
      <c r="R36" s="55" t="s">
        <v>754</v>
      </c>
      <c r="S36" s="55" t="s">
        <v>755</v>
      </c>
      <c r="T36" s="55" t="s">
        <v>756</v>
      </c>
      <c r="U36" s="55" t="s">
        <v>757</v>
      </c>
      <c r="V36" s="55" t="s">
        <v>758</v>
      </c>
      <c r="W36" s="3"/>
      <c r="X36" s="3"/>
      <c r="Y36" s="3"/>
      <c r="Z36" s="3"/>
    </row>
    <row r="37">
      <c r="A37" s="27"/>
      <c r="B37" s="29"/>
      <c r="C37" s="10" t="s">
        <v>759</v>
      </c>
      <c r="D37" s="10" t="s">
        <v>759</v>
      </c>
      <c r="E37" s="10" t="s">
        <v>759</v>
      </c>
      <c r="F37" s="10" t="s">
        <v>759</v>
      </c>
      <c r="G37" s="10" t="s">
        <v>759</v>
      </c>
      <c r="H37" s="4" t="s">
        <v>759</v>
      </c>
      <c r="I37" s="75" t="s">
        <v>760</v>
      </c>
      <c r="J37" s="62" t="s">
        <v>760</v>
      </c>
      <c r="K37" s="75" t="s">
        <v>761</v>
      </c>
      <c r="L37" s="75" t="s">
        <v>761</v>
      </c>
      <c r="M37" s="75" t="s">
        <v>761</v>
      </c>
      <c r="N37" s="75" t="s">
        <v>761</v>
      </c>
      <c r="O37" s="75" t="s">
        <v>761</v>
      </c>
      <c r="P37" s="75" t="s">
        <v>762</v>
      </c>
      <c r="Q37" s="75" t="s">
        <v>762</v>
      </c>
      <c r="R37" s="75" t="s">
        <v>762</v>
      </c>
      <c r="S37" s="10" t="s">
        <v>759</v>
      </c>
      <c r="T37" s="10" t="s">
        <v>759</v>
      </c>
      <c r="U37" s="10" t="s">
        <v>759</v>
      </c>
      <c r="V37" s="10" t="s">
        <v>759</v>
      </c>
      <c r="W37" s="3"/>
      <c r="X37" s="3"/>
      <c r="Y37" s="3"/>
      <c r="Z37" s="3"/>
    </row>
    <row r="38">
      <c r="A38" s="27"/>
      <c r="B38" s="29"/>
      <c r="C38" s="10" t="s">
        <v>763</v>
      </c>
      <c r="D38" s="10" t="s">
        <v>763</v>
      </c>
      <c r="E38" s="10" t="s">
        <v>763</v>
      </c>
      <c r="F38" s="10" t="s">
        <v>763</v>
      </c>
      <c r="G38" s="10" t="s">
        <v>763</v>
      </c>
      <c r="H38" s="4" t="s">
        <v>763</v>
      </c>
      <c r="I38" s="75" t="s">
        <v>112</v>
      </c>
      <c r="J38" s="62" t="s">
        <v>112</v>
      </c>
      <c r="K38" s="75" t="s">
        <v>764</v>
      </c>
      <c r="L38" s="75" t="s">
        <v>764</v>
      </c>
      <c r="M38" s="75" t="s">
        <v>764</v>
      </c>
      <c r="N38" s="75" t="s">
        <v>764</v>
      </c>
      <c r="O38" s="75" t="s">
        <v>764</v>
      </c>
      <c r="P38" s="75" t="s">
        <v>472</v>
      </c>
      <c r="Q38" s="75" t="s">
        <v>472</v>
      </c>
      <c r="R38" s="75" t="s">
        <v>472</v>
      </c>
      <c r="S38" s="10" t="s">
        <v>763</v>
      </c>
      <c r="T38" s="10" t="s">
        <v>763</v>
      </c>
      <c r="U38" s="10" t="s">
        <v>763</v>
      </c>
      <c r="V38" s="10" t="s">
        <v>763</v>
      </c>
      <c r="W38" s="3"/>
      <c r="X38" s="3"/>
      <c r="Y38" s="3"/>
      <c r="Z38" s="3"/>
    </row>
    <row r="39">
      <c r="A39" s="27"/>
      <c r="B39" s="29"/>
      <c r="C39" s="10" t="s">
        <v>105</v>
      </c>
      <c r="D39" s="10" t="s">
        <v>105</v>
      </c>
      <c r="E39" s="10" t="s">
        <v>105</v>
      </c>
      <c r="F39" s="10" t="s">
        <v>105</v>
      </c>
      <c r="G39" s="10" t="s">
        <v>105</v>
      </c>
      <c r="H39" s="4" t="s">
        <v>105</v>
      </c>
      <c r="I39" s="75" t="s">
        <v>130</v>
      </c>
      <c r="J39" s="62" t="s">
        <v>130</v>
      </c>
      <c r="K39" s="75" t="s">
        <v>765</v>
      </c>
      <c r="L39" s="75" t="s">
        <v>765</v>
      </c>
      <c r="M39" s="75" t="s">
        <v>765</v>
      </c>
      <c r="N39" s="75" t="s">
        <v>765</v>
      </c>
      <c r="O39" s="75" t="s">
        <v>765</v>
      </c>
      <c r="P39" s="75" t="s">
        <v>105</v>
      </c>
      <c r="Q39" s="75" t="s">
        <v>105</v>
      </c>
      <c r="R39" s="75" t="s">
        <v>105</v>
      </c>
      <c r="S39" s="10" t="s">
        <v>105</v>
      </c>
      <c r="T39" s="10" t="s">
        <v>105</v>
      </c>
      <c r="U39" s="10" t="s">
        <v>105</v>
      </c>
      <c r="V39" s="10" t="s">
        <v>105</v>
      </c>
      <c r="W39" s="3"/>
      <c r="X39" s="3"/>
      <c r="Y39" s="3"/>
      <c r="Z39" s="3"/>
    </row>
    <row r="40">
      <c r="A40" s="27"/>
      <c r="B40" s="29"/>
      <c r="C40" s="91" t="s">
        <v>766</v>
      </c>
      <c r="D40" s="91" t="s">
        <v>767</v>
      </c>
      <c r="E40" s="91" t="s">
        <v>768</v>
      </c>
      <c r="F40" s="91" t="s">
        <v>769</v>
      </c>
      <c r="G40" s="91" t="s">
        <v>770</v>
      </c>
      <c r="H40" s="87" t="s">
        <v>771</v>
      </c>
      <c r="I40" s="69" t="s">
        <v>772</v>
      </c>
      <c r="J40" s="85" t="s">
        <v>773</v>
      </c>
      <c r="K40" s="91" t="s">
        <v>774</v>
      </c>
      <c r="L40" s="91" t="s">
        <v>775</v>
      </c>
      <c r="M40" s="91" t="s">
        <v>776</v>
      </c>
      <c r="N40" s="91" t="s">
        <v>777</v>
      </c>
      <c r="O40" s="91" t="s">
        <v>778</v>
      </c>
      <c r="P40" s="91" t="s">
        <v>779</v>
      </c>
      <c r="Q40" s="91" t="s">
        <v>780</v>
      </c>
      <c r="R40" s="91" t="s">
        <v>781</v>
      </c>
      <c r="S40" s="91" t="s">
        <v>782</v>
      </c>
      <c r="T40" s="211"/>
      <c r="U40" s="91" t="s">
        <v>783</v>
      </c>
      <c r="V40" s="91" t="s">
        <v>784</v>
      </c>
      <c r="W40" s="3"/>
      <c r="X40" s="3"/>
      <c r="Y40" s="3"/>
      <c r="Z40" s="3"/>
    </row>
    <row r="41">
      <c r="A41" s="27"/>
      <c r="B41" s="79"/>
      <c r="C41" s="152" t="s">
        <v>31</v>
      </c>
      <c r="D41" s="152" t="s">
        <v>31</v>
      </c>
      <c r="E41" s="152" t="s">
        <v>31</v>
      </c>
      <c r="F41" s="152" t="s">
        <v>31</v>
      </c>
      <c r="G41" s="152" t="s">
        <v>31</v>
      </c>
      <c r="H41" s="213" t="s">
        <v>31</v>
      </c>
      <c r="I41" s="83" t="str">
        <f>HYPERLINK("https://drive.google.com/folderview?id=0B0x_dulH5-nEfjlHM0o1VEkwWXZaQWd6WFpoZ1lPNUp2eTVPUE14NnFCZGtzTVkzQlBINUk&amp;usp=sharing","ดาวน์โหลดเอกสารประกอบ")</f>
        <v>ดาวน์โหลดเอกสารประกอบ</v>
      </c>
      <c r="J41" s="110" t="str">
        <f>HYPERLINK("https://drive.google.com/folderview?id=0B0x_dulH5-nEfllvdTBjMGYtZjVXVTJTV1dKV0FJX0dYaFNzVVZrR1dCVFZubEt1dkpHTjQ&amp;usp=sharing","ดาวน์โหลดเอกสารประกอบ")</f>
        <v>ดาวน์โหลดเอกสารประกอบ</v>
      </c>
      <c r="K41" s="152" t="s">
        <v>31</v>
      </c>
      <c r="L41" s="152" t="s">
        <v>31</v>
      </c>
      <c r="M41" s="152" t="s">
        <v>31</v>
      </c>
      <c r="N41" s="152" t="s">
        <v>31</v>
      </c>
      <c r="O41" s="152" t="s">
        <v>31</v>
      </c>
      <c r="P41" s="152" t="s">
        <v>31</v>
      </c>
      <c r="Q41" s="152" t="s">
        <v>31</v>
      </c>
      <c r="R41" s="152" t="s">
        <v>31</v>
      </c>
      <c r="S41" s="152" t="s">
        <v>31</v>
      </c>
      <c r="T41" s="152" t="s">
        <v>195</v>
      </c>
      <c r="U41" s="152" t="s">
        <v>31</v>
      </c>
      <c r="V41" s="152" t="s">
        <v>31</v>
      </c>
      <c r="W41" s="3"/>
      <c r="X41" s="3"/>
      <c r="Y41" s="3"/>
      <c r="Z41" s="3"/>
    </row>
    <row r="42">
      <c r="A42" s="27"/>
      <c r="B42" s="5" t="s">
        <v>3</v>
      </c>
      <c r="C42" s="5" t="s">
        <v>4</v>
      </c>
      <c r="D42" s="12" t="s">
        <v>5</v>
      </c>
      <c r="E42" s="5" t="s">
        <v>6</v>
      </c>
      <c r="F42" s="5" t="s">
        <v>8</v>
      </c>
      <c r="G42" s="5" t="s">
        <v>9</v>
      </c>
      <c r="H42" s="14" t="s">
        <v>10</v>
      </c>
      <c r="I42" s="5" t="s">
        <v>11</v>
      </c>
      <c r="J42" s="12" t="s">
        <v>12</v>
      </c>
      <c r="K42" s="5" t="s">
        <v>13</v>
      </c>
      <c r="L42" s="5" t="s">
        <v>14</v>
      </c>
      <c r="M42" s="5" t="s">
        <v>15</v>
      </c>
      <c r="N42" s="5" t="s">
        <v>16</v>
      </c>
      <c r="O42" s="5" t="s">
        <v>17</v>
      </c>
      <c r="P42" s="5" t="s">
        <v>18</v>
      </c>
      <c r="Q42" s="5" t="s">
        <v>19</v>
      </c>
      <c r="R42" s="5" t="s">
        <v>20</v>
      </c>
      <c r="S42" s="5" t="s">
        <v>21</v>
      </c>
      <c r="T42" s="5" t="s">
        <v>22</v>
      </c>
      <c r="U42" s="5" t="s">
        <v>23</v>
      </c>
      <c r="V42" s="5" t="s">
        <v>24</v>
      </c>
      <c r="W42" s="3"/>
      <c r="X42" s="3"/>
      <c r="Y42" s="3"/>
      <c r="Z42" s="3"/>
    </row>
    <row r="43">
      <c r="A43" s="27"/>
      <c r="B43" s="13" t="s">
        <v>179</v>
      </c>
      <c r="C43" s="19" t="s">
        <v>41</v>
      </c>
      <c r="D43" s="19" t="s">
        <v>41</v>
      </c>
      <c r="E43" s="19" t="s">
        <v>41</v>
      </c>
      <c r="F43" s="19" t="s">
        <v>787</v>
      </c>
      <c r="G43" s="19" t="s">
        <v>787</v>
      </c>
      <c r="H43" s="139" t="s">
        <v>430</v>
      </c>
      <c r="I43" s="19" t="s">
        <v>41</v>
      </c>
      <c r="J43" s="140" t="s">
        <v>41</v>
      </c>
      <c r="K43" s="19" t="s">
        <v>41</v>
      </c>
      <c r="L43" s="19" t="s">
        <v>41</v>
      </c>
      <c r="M43" s="19" t="s">
        <v>41</v>
      </c>
      <c r="N43" s="19" t="s">
        <v>41</v>
      </c>
      <c r="O43" s="19" t="s">
        <v>39</v>
      </c>
      <c r="P43" s="19" t="s">
        <v>41</v>
      </c>
      <c r="Q43" s="19" t="s">
        <v>41</v>
      </c>
      <c r="R43" s="19" t="s">
        <v>41</v>
      </c>
      <c r="S43" s="19" t="s">
        <v>41</v>
      </c>
      <c r="T43" s="19" t="s">
        <v>41</v>
      </c>
      <c r="U43" s="19" t="s">
        <v>43</v>
      </c>
      <c r="V43" s="19" t="s">
        <v>43</v>
      </c>
      <c r="W43" s="3"/>
      <c r="X43" s="3"/>
      <c r="Y43" s="3"/>
      <c r="Z43" s="3"/>
    </row>
    <row r="44" ht="75.0" customHeight="1">
      <c r="A44" s="27"/>
      <c r="B44" s="29"/>
      <c r="C44" s="46" t="s">
        <v>789</v>
      </c>
      <c r="D44" s="46" t="s">
        <v>790</v>
      </c>
      <c r="E44" s="46" t="s">
        <v>791</v>
      </c>
      <c r="F44" s="34" t="str">
        <f>HYPERLINK("https://www.youtube.com/watch?v=fcvSBZCF8h8","การแก้โจทย์ปัญหา ห.ร.ม.")</f>
        <v>การแก้โจทย์ปัญหา ห.ร.ม.</v>
      </c>
      <c r="G44" s="34" t="str">
        <f>HYPERLINK("https://www.youtube.com/watch?v=mCpskvKuhfo","การแก้โจทย์ปัญหา ค.ร.น.")</f>
        <v>การแก้โจทย์ปัญหา ค.ร.น.</v>
      </c>
      <c r="H44" s="200" t="s">
        <v>796</v>
      </c>
      <c r="I44" s="34" t="str">
        <f>HYPERLINK("https://www.youtube.com/watch?v=VNVZxiRfo5k","""การบวก การลบ เศษส่วนที่มีตัวส่วนที่ไม่เท่ากัน""")</f>
        <v>"การบวก การลบ เศษส่วนที่มีตัวส่วนที่ไม่เท่ากัน"</v>
      </c>
      <c r="J44" s="235" t="str">
        <f>HYPERLINK("https://www.youtube.com/watch?v=bwZExh14Msw","การคูณเศษส่วน")</f>
        <v>การคูณเศษส่วน</v>
      </c>
      <c r="K44" s="34" t="str">
        <f>HYPERLINK("https://www.youtube.com/watch?v=j0SN_GXm4-c","การหารเศษส่วน")</f>
        <v>การหารเศษส่วน</v>
      </c>
      <c r="L44" s="55" t="s">
        <v>847</v>
      </c>
      <c r="M44" s="46" t="s">
        <v>849</v>
      </c>
      <c r="N44" s="46" t="s">
        <v>850</v>
      </c>
      <c r="O44" s="46" t="s">
        <v>852</v>
      </c>
      <c r="P44" s="46" t="s">
        <v>853</v>
      </c>
      <c r="Q44" s="46" t="s">
        <v>855</v>
      </c>
      <c r="R44" s="55" t="s">
        <v>856</v>
      </c>
      <c r="S44" s="46" t="s">
        <v>857</v>
      </c>
      <c r="T44" s="46" t="s">
        <v>858</v>
      </c>
      <c r="U44" s="46" t="s">
        <v>859</v>
      </c>
      <c r="V44" s="46" t="s">
        <v>860</v>
      </c>
      <c r="W44" s="3"/>
      <c r="X44" s="3"/>
      <c r="Y44" s="3"/>
      <c r="Z44" s="3"/>
    </row>
    <row r="45">
      <c r="A45" s="27"/>
      <c r="B45" s="29"/>
      <c r="C45" s="55" t="s">
        <v>863</v>
      </c>
      <c r="D45" s="55" t="s">
        <v>863</v>
      </c>
      <c r="E45" s="55" t="s">
        <v>863</v>
      </c>
      <c r="F45" s="10" t="s">
        <v>864</v>
      </c>
      <c r="G45" s="10" t="s">
        <v>864</v>
      </c>
      <c r="H45" s="200" t="s">
        <v>863</v>
      </c>
      <c r="I45" s="10" t="s">
        <v>865</v>
      </c>
      <c r="J45" s="60" t="s">
        <v>865</v>
      </c>
      <c r="K45" s="10" t="s">
        <v>865</v>
      </c>
      <c r="L45" s="75" t="s">
        <v>866</v>
      </c>
      <c r="M45" s="75" t="s">
        <v>867</v>
      </c>
      <c r="N45" s="75" t="s">
        <v>867</v>
      </c>
      <c r="O45" s="75" t="s">
        <v>868</v>
      </c>
      <c r="P45" s="75" t="s">
        <v>869</v>
      </c>
      <c r="Q45" s="75" t="s">
        <v>869</v>
      </c>
      <c r="R45" s="75" t="s">
        <v>869</v>
      </c>
      <c r="S45" s="75" t="s">
        <v>871</v>
      </c>
      <c r="T45" s="75" t="s">
        <v>871</v>
      </c>
      <c r="U45" s="75" t="s">
        <v>872</v>
      </c>
      <c r="V45" s="75" t="s">
        <v>872</v>
      </c>
      <c r="W45" s="3"/>
      <c r="X45" s="3"/>
      <c r="Y45" s="3"/>
      <c r="Z45" s="3"/>
    </row>
    <row r="46">
      <c r="A46" s="27"/>
      <c r="B46" s="29"/>
      <c r="C46" s="75" t="s">
        <v>312</v>
      </c>
      <c r="D46" s="75" t="s">
        <v>312</v>
      </c>
      <c r="E46" s="75" t="s">
        <v>312</v>
      </c>
      <c r="F46" s="10" t="s">
        <v>702</v>
      </c>
      <c r="G46" s="10" t="s">
        <v>702</v>
      </c>
      <c r="H46" s="202" t="s">
        <v>312</v>
      </c>
      <c r="I46" s="10" t="s">
        <v>471</v>
      </c>
      <c r="J46" s="60" t="s">
        <v>471</v>
      </c>
      <c r="K46" s="10" t="s">
        <v>471</v>
      </c>
      <c r="L46" s="75" t="s">
        <v>874</v>
      </c>
      <c r="M46" s="75" t="s">
        <v>112</v>
      </c>
      <c r="N46" s="75" t="s">
        <v>112</v>
      </c>
      <c r="O46" s="75" t="s">
        <v>875</v>
      </c>
      <c r="P46" s="75" t="s">
        <v>876</v>
      </c>
      <c r="Q46" s="75" t="s">
        <v>876</v>
      </c>
      <c r="R46" s="75" t="s">
        <v>876</v>
      </c>
      <c r="S46" s="75" t="s">
        <v>876</v>
      </c>
      <c r="T46" s="75" t="s">
        <v>876</v>
      </c>
      <c r="U46" s="75" t="s">
        <v>876</v>
      </c>
      <c r="V46" s="75" t="s">
        <v>876</v>
      </c>
      <c r="W46" s="3"/>
      <c r="X46" s="3"/>
      <c r="Y46" s="3"/>
      <c r="Z46" s="3"/>
    </row>
    <row r="47">
      <c r="A47" s="27"/>
      <c r="B47" s="29"/>
      <c r="C47" s="75" t="s">
        <v>105</v>
      </c>
      <c r="D47" s="75" t="s">
        <v>105</v>
      </c>
      <c r="E47" s="75" t="s">
        <v>105</v>
      </c>
      <c r="F47" s="10" t="s">
        <v>625</v>
      </c>
      <c r="G47" s="10" t="s">
        <v>625</v>
      </c>
      <c r="H47" s="202" t="s">
        <v>105</v>
      </c>
      <c r="I47" s="10" t="s">
        <v>235</v>
      </c>
      <c r="J47" s="60" t="s">
        <v>235</v>
      </c>
      <c r="K47" s="10" t="s">
        <v>235</v>
      </c>
      <c r="L47" s="75" t="s">
        <v>480</v>
      </c>
      <c r="M47" s="75" t="s">
        <v>130</v>
      </c>
      <c r="N47" s="75" t="s">
        <v>130</v>
      </c>
      <c r="O47" s="75" t="s">
        <v>477</v>
      </c>
      <c r="P47" s="75" t="s">
        <v>233</v>
      </c>
      <c r="Q47" s="75" t="s">
        <v>233</v>
      </c>
      <c r="R47" s="75" t="s">
        <v>233</v>
      </c>
      <c r="S47" s="75" t="s">
        <v>233</v>
      </c>
      <c r="T47" s="75" t="s">
        <v>233</v>
      </c>
      <c r="U47" s="75" t="s">
        <v>233</v>
      </c>
      <c r="V47" s="75" t="s">
        <v>233</v>
      </c>
      <c r="W47" s="3"/>
      <c r="X47" s="3"/>
      <c r="Y47" s="3"/>
      <c r="Z47" s="3"/>
    </row>
    <row r="48">
      <c r="A48" s="27"/>
      <c r="B48" s="29"/>
      <c r="C48" s="91" t="s">
        <v>882</v>
      </c>
      <c r="D48" s="91" t="s">
        <v>886</v>
      </c>
      <c r="E48" s="91" t="s">
        <v>888</v>
      </c>
      <c r="F48" s="91" t="s">
        <v>891</v>
      </c>
      <c r="G48" s="91" t="s">
        <v>894</v>
      </c>
      <c r="H48" s="87" t="s">
        <v>896</v>
      </c>
      <c r="I48" s="240" t="s">
        <v>899</v>
      </c>
      <c r="J48" s="110" t="s">
        <v>903</v>
      </c>
      <c r="K48" s="91" t="s">
        <v>906</v>
      </c>
      <c r="L48" s="91" t="s">
        <v>908</v>
      </c>
      <c r="M48" s="91" t="s">
        <v>911</v>
      </c>
      <c r="N48" s="91" t="s">
        <v>914</v>
      </c>
      <c r="O48" s="91" t="s">
        <v>917</v>
      </c>
      <c r="P48" s="91" t="s">
        <v>919</v>
      </c>
      <c r="Q48" s="91" t="s">
        <v>922</v>
      </c>
      <c r="R48" s="91" t="s">
        <v>925</v>
      </c>
      <c r="S48" s="91" t="s">
        <v>927</v>
      </c>
      <c r="T48" s="91" t="s">
        <v>929</v>
      </c>
      <c r="U48" s="91" t="s">
        <v>931</v>
      </c>
      <c r="V48" s="91" t="s">
        <v>932</v>
      </c>
      <c r="W48" s="3"/>
      <c r="X48" s="3"/>
      <c r="Y48" s="3"/>
      <c r="Z48" s="3"/>
    </row>
    <row r="49">
      <c r="A49" s="27"/>
      <c r="B49" s="79"/>
      <c r="C49" s="152" t="s">
        <v>31</v>
      </c>
      <c r="D49" s="152" t="s">
        <v>31</v>
      </c>
      <c r="E49" s="152" t="s">
        <v>31</v>
      </c>
      <c r="F49" s="152" t="s">
        <v>31</v>
      </c>
      <c r="G49" s="152" t="s">
        <v>31</v>
      </c>
      <c r="H49" s="106" t="str">
        <f>HYPERLINK("https://drive.google.com/folderview?id=0B4mky1MMW8dYUVJUWHJHQmZZMlE&amp;usp=sharing","ดาวน์โหลดเอกสารประกอบ")</f>
        <v>ดาวน์โหลดเอกสารประกอบ</v>
      </c>
      <c r="I49" s="83" t="str">
        <f>HYPERLINK("https://drive.google.com/folderview?id=0BydHLJgPtYsXfjl3MWdoZWIwZVpzVTNhM3JDTHRCUElNcXJHdEQyNDBYcE16bmFSWnljWUk&amp;usp=sharing","ดาวน์โหลดเอกสารประกอบ")</f>
        <v>ดาวน์โหลดเอกสารประกอบ</v>
      </c>
      <c r="J49" s="110" t="str">
        <f>HYPERLINK("https://drive.google.com/folderview?id=0BydHLJgPtYsXfkh4b1p6SWsyNTYxVkFfZFdyY20zRThRWkZudFJmX3BLSUZkdjRsUlhDVXc&amp;usp=sharing","ดาวน์โหลดเอกสารประกอบ")</f>
        <v>ดาวน์โหลดเอกสารประกอบ</v>
      </c>
      <c r="K49" s="98" t="str">
        <f>HYPERLINK("https://drive.google.com/folderview?id=0BydHLJgPtYsXfkdhakh3cVVEbmQ3UmZoMDZVNUNhcFhfX1k4d1loZGp0YzlJTXFtMlFrQ28&amp;usp=sharing","ดาวน์โหลดเอกสารประกอบ")</f>
        <v>ดาวน์โหลดเอกสารประกอบ</v>
      </c>
      <c r="L49" s="98" t="str">
        <f>HYPERLINK("https://drive.google.com/folderview?id=0B0x_dulH5-nEfnFnX0Z3Qm5yeDJMaDk5b1FxbXpYM3VacXdGTUI1dE1NeXFLSE01cnJ4a1k&amp;usp=sharing","ดาวน์โหลดเอกสารประกอบ")</f>
        <v>ดาวน์โหลดเอกสารประกอบ</v>
      </c>
      <c r="M49" s="98" t="str">
        <f>HYPERLINK("https://drive.google.com/folderview?id=0B0x_dulH5-nEfjZmZi1ULVJETklmSGEyM1VyeWRTNEZWVEtWQjctRHRBYkFuSTdaT2JUM3M&amp;usp=sharing","ดาวน์โหลดเอกสารประกอบ")</f>
        <v>ดาวน์โหลดเอกสารประกอบ</v>
      </c>
      <c r="N49" s="98" t="str">
        <f>HYPERLINK("https://drive.google.com/folderview?id=0B0x_dulH5-nEfi1ES1ZIRUw4Skl1anZ3UG90Wjk0eVA0M1RRNV93cTdhLXhLc2hCbTZwR0U&amp;usp=sharing","ดาวน์โหลดเอกสารประกอบ")</f>
        <v>ดาวน์โหลดเอกสารประกอบ</v>
      </c>
      <c r="O49" s="98" t="str">
        <f>HYPERLINK("https://drive.google.com/folderview?id=0BydHLJgPtYsXflhEekhyV1ZkU1NOS3pUN09JN3ZQeEx5cWlTOURoUlF5eUhMSlUzbUdlM2c&amp;usp=sharing","ดาวน์โหลดเอกสารประกอบ")</f>
        <v>ดาวน์โหลดเอกสารประกอบ</v>
      </c>
      <c r="P49" s="98" t="str">
        <f>HYPERLINK("https://drive.google.com/folderview?id=0B4mky1MMW8dYflh3Q2tyaTZydTRZN3EyWUtEY1VrRzZEb0x6UEhfVUlpZXN6UjhDZTFLVlE&amp;usp=sharing","ดาวน์โหลดเอกสารประกอบ")</f>
        <v>ดาวน์โหลดเอกสารประกอบ</v>
      </c>
      <c r="Q49" s="98" t="str">
        <f>HYPERLINK("https://drive.google.com/folderview?id=0B4mky1MMW8dYfmRvZGN1MlBnRV96MER6ejBDelVFN09UQjhFTU42LS1xMTVhOFlVOE9HRUU&amp;usp=sharing","ดาวน์โหลดเอกสารประกอบ")</f>
        <v>ดาวน์โหลดเอกสารประกอบ</v>
      </c>
      <c r="R49" s="98" t="str">
        <f>HYPERLINK("https://drive.google.com/folderview?id=0B4mky1MMW8dYfkNvREw1dlg0UHdlZVVyOEsyTXRxVHJiYlA4emRuYzZrRmRGTUxsbkpsTUE&amp;usp=sharing","ดาวน์โหลดเอกสารประกอบ")</f>
        <v>ดาวน์โหลดเอกสารประกอบ</v>
      </c>
      <c r="S49" s="152" t="s">
        <v>31</v>
      </c>
      <c r="T49" s="152" t="s">
        <v>31</v>
      </c>
      <c r="U49" s="98" t="str">
        <f>HYPERLINK("https://drive.google.com/folderview?id=0B4mky1MMW8dYfnJ3bS1NOWdveDZuSHRNSDBlNU14SGV0MUY4bnJQYnpEQUdWTU9aRkF3ZXc&amp;usp=sharing","ดาวน์โหลดเอกสารประกอบ")</f>
        <v>ดาวน์โหลดเอกสารประกอบ</v>
      </c>
      <c r="V49" s="98" t="str">
        <f>HYPERLINK("https://drive.google.com/folderview?id=0B4mky1MMW8dYfnpYTzdZcXAyam9ER1NNbTN6SU5MdlNXOVVvd2QzamlaSF9UeHl0cG1BaGM&amp;usp=sharing","ดาวน์โหลดเอกสารประกอบ")</f>
        <v>ดาวน์โหลดเอกสารประกอบ</v>
      </c>
      <c r="W49" s="3"/>
      <c r="X49" s="3"/>
      <c r="Y49" s="3"/>
      <c r="Z49" s="3"/>
    </row>
    <row r="50">
      <c r="A50" s="27"/>
      <c r="B50" s="5" t="s">
        <v>3</v>
      </c>
      <c r="C50" s="5" t="s">
        <v>4</v>
      </c>
      <c r="D50" s="12" t="s">
        <v>5</v>
      </c>
      <c r="E50" s="5" t="s">
        <v>6</v>
      </c>
      <c r="F50" s="5" t="s">
        <v>8</v>
      </c>
      <c r="G50" s="5" t="s">
        <v>9</v>
      </c>
      <c r="H50" s="14" t="s">
        <v>10</v>
      </c>
      <c r="I50" s="5" t="s">
        <v>11</v>
      </c>
      <c r="J50" s="12" t="s">
        <v>12</v>
      </c>
      <c r="K50" s="5" t="s">
        <v>13</v>
      </c>
      <c r="L50" s="5" t="s">
        <v>14</v>
      </c>
      <c r="M50" s="5" t="s">
        <v>15</v>
      </c>
      <c r="N50" s="5" t="s">
        <v>16</v>
      </c>
      <c r="O50" s="5" t="s">
        <v>17</v>
      </c>
      <c r="P50" s="5" t="s">
        <v>18</v>
      </c>
      <c r="Q50" s="5" t="s">
        <v>19</v>
      </c>
      <c r="R50" s="5" t="s">
        <v>20</v>
      </c>
      <c r="S50" s="5" t="s">
        <v>21</v>
      </c>
      <c r="T50" s="5" t="s">
        <v>22</v>
      </c>
      <c r="U50" s="5" t="s">
        <v>23</v>
      </c>
      <c r="V50" s="5" t="s">
        <v>24</v>
      </c>
      <c r="W50" s="3"/>
      <c r="X50" s="3"/>
      <c r="Y50" s="3"/>
      <c r="Z50" s="3"/>
    </row>
    <row r="51">
      <c r="A51" s="27"/>
      <c r="B51" s="13" t="s">
        <v>184</v>
      </c>
      <c r="C51" s="19" t="s">
        <v>39</v>
      </c>
      <c r="D51" s="19" t="s">
        <v>41</v>
      </c>
      <c r="E51" s="19" t="s">
        <v>41</v>
      </c>
      <c r="F51" s="19" t="s">
        <v>41</v>
      </c>
      <c r="G51" s="19" t="s">
        <v>41</v>
      </c>
      <c r="H51" s="139" t="s">
        <v>41</v>
      </c>
      <c r="I51" s="19" t="s">
        <v>41</v>
      </c>
      <c r="J51" s="140" t="s">
        <v>41</v>
      </c>
      <c r="K51" s="19" t="s">
        <v>41</v>
      </c>
      <c r="L51" s="19" t="s">
        <v>41</v>
      </c>
      <c r="M51" s="19" t="s">
        <v>787</v>
      </c>
      <c r="N51" s="19" t="s">
        <v>787</v>
      </c>
      <c r="O51" s="19" t="s">
        <v>787</v>
      </c>
      <c r="P51" s="19" t="s">
        <v>787</v>
      </c>
      <c r="Q51" s="19" t="s">
        <v>787</v>
      </c>
      <c r="R51" s="19" t="s">
        <v>43</v>
      </c>
      <c r="S51" s="19" t="s">
        <v>43</v>
      </c>
      <c r="T51" s="19" t="s">
        <v>43</v>
      </c>
      <c r="U51" s="19" t="s">
        <v>43</v>
      </c>
      <c r="V51" s="19" t="s">
        <v>43</v>
      </c>
      <c r="W51" s="3"/>
      <c r="X51" s="3"/>
      <c r="Y51" s="3"/>
      <c r="Z51" s="3"/>
    </row>
    <row r="52" ht="60.0" customHeight="1">
      <c r="A52" s="27"/>
      <c r="B52" s="29"/>
      <c r="C52" s="177" t="str">
        <f>HYPERLINK("https://www.youtube.com/watch?v=45gOnv3-eOk","""จำนวนเต็ม ที่มา ประเภท  และการเปรียบเทียบจำนวนเต็ม ค่าสัมบูรณ์ของจำนวนเต็ม และจำนวนตรงข้าม""")</f>
        <v>"จำนวนเต็ม ที่มา ประเภท  และการเปรียบเทียบจำนวนเต็ม ค่าสัมบูรณ์ของจำนวนเต็ม และจำนวนตรงข้าม"</v>
      </c>
      <c r="D52" s="235" t="str">
        <f>HYPERLINK("https://www.youtube.com/watch?v=4fW3fstr2yM","การบวกจำนวนเต็ม")</f>
        <v>การบวกจำนวนเต็ม</v>
      </c>
      <c r="E52" s="34" t="str">
        <f>HYPERLINK("https://www.youtube.com/watch?v=VFW6FQnwBLk","การลบจำนวนเต็ม")</f>
        <v>การลบจำนวนเต็ม</v>
      </c>
      <c r="F52" s="55" t="s">
        <v>986</v>
      </c>
      <c r="G52" s="46" t="s">
        <v>987</v>
      </c>
      <c r="H52" s="44" t="s">
        <v>988</v>
      </c>
      <c r="I52" s="46" t="s">
        <v>989</v>
      </c>
      <c r="J52" s="42" t="s">
        <v>990</v>
      </c>
      <c r="K52" s="46" t="s">
        <v>992</v>
      </c>
      <c r="L52" s="46" t="s">
        <v>993</v>
      </c>
      <c r="M52" s="46" t="s">
        <v>995</v>
      </c>
      <c r="N52" s="46" t="s">
        <v>996</v>
      </c>
      <c r="O52" s="46" t="s">
        <v>997</v>
      </c>
      <c r="P52" s="46" t="s">
        <v>999</v>
      </c>
      <c r="Q52" s="46" t="s">
        <v>1000</v>
      </c>
      <c r="R52" s="55" t="s">
        <v>1001</v>
      </c>
      <c r="S52" s="55" t="s">
        <v>1003</v>
      </c>
      <c r="T52" s="55" t="s">
        <v>1004</v>
      </c>
      <c r="U52" s="46" t="s">
        <v>1007</v>
      </c>
      <c r="V52" s="46" t="s">
        <v>1008</v>
      </c>
      <c r="W52" s="3"/>
      <c r="X52" s="3"/>
      <c r="Y52" s="3"/>
      <c r="Z52" s="3"/>
    </row>
    <row r="53">
      <c r="A53" s="27"/>
      <c r="B53" s="29"/>
      <c r="C53" s="10" t="s">
        <v>1010</v>
      </c>
      <c r="D53" s="10" t="s">
        <v>1010</v>
      </c>
      <c r="E53" s="10" t="s">
        <v>1010</v>
      </c>
      <c r="F53" s="10" t="s">
        <v>1010</v>
      </c>
      <c r="G53" s="10" t="s">
        <v>1010</v>
      </c>
      <c r="H53" s="4" t="s">
        <v>1011</v>
      </c>
      <c r="I53" s="10" t="s">
        <v>1011</v>
      </c>
      <c r="J53" s="60" t="s">
        <v>1011</v>
      </c>
      <c r="K53" s="10" t="s">
        <v>1011</v>
      </c>
      <c r="L53" s="75" t="s">
        <v>1013</v>
      </c>
      <c r="M53" s="75" t="s">
        <v>1015</v>
      </c>
      <c r="N53" s="75" t="s">
        <v>1015</v>
      </c>
      <c r="O53" s="75" t="s">
        <v>1015</v>
      </c>
      <c r="P53" s="75" t="s">
        <v>1015</v>
      </c>
      <c r="Q53" s="75" t="s">
        <v>1013</v>
      </c>
      <c r="R53" s="75" t="s">
        <v>1017</v>
      </c>
      <c r="S53" s="75" t="s">
        <v>1017</v>
      </c>
      <c r="T53" s="75" t="s">
        <v>1017</v>
      </c>
      <c r="U53" s="75" t="s">
        <v>1017</v>
      </c>
      <c r="V53" s="75" t="s">
        <v>1013</v>
      </c>
      <c r="W53" s="3"/>
      <c r="X53" s="3"/>
      <c r="Y53" s="3"/>
      <c r="Z53" s="3"/>
    </row>
    <row r="54">
      <c r="A54" s="27"/>
      <c r="B54" s="29"/>
      <c r="C54" s="10" t="s">
        <v>1021</v>
      </c>
      <c r="D54" s="10" t="s">
        <v>1021</v>
      </c>
      <c r="E54" s="10" t="s">
        <v>1021</v>
      </c>
      <c r="F54" s="10" t="s">
        <v>1021</v>
      </c>
      <c r="G54" s="10" t="s">
        <v>1021</v>
      </c>
      <c r="H54" s="4" t="s">
        <v>998</v>
      </c>
      <c r="I54" s="10" t="s">
        <v>998</v>
      </c>
      <c r="J54" s="60" t="s">
        <v>998</v>
      </c>
      <c r="K54" s="10" t="s">
        <v>998</v>
      </c>
      <c r="L54" s="75" t="s">
        <v>1023</v>
      </c>
      <c r="M54" s="75" t="s">
        <v>1024</v>
      </c>
      <c r="N54" s="75" t="s">
        <v>1024</v>
      </c>
      <c r="O54" s="75" t="s">
        <v>1024</v>
      </c>
      <c r="P54" s="75" t="s">
        <v>1024</v>
      </c>
      <c r="Q54" s="75" t="s">
        <v>1023</v>
      </c>
      <c r="R54" s="75" t="s">
        <v>1028</v>
      </c>
      <c r="S54" s="75" t="s">
        <v>1028</v>
      </c>
      <c r="T54" s="75" t="s">
        <v>1028</v>
      </c>
      <c r="U54" s="75" t="s">
        <v>1028</v>
      </c>
      <c r="V54" s="75" t="s">
        <v>1023</v>
      </c>
      <c r="W54" s="3"/>
      <c r="X54" s="3"/>
      <c r="Y54" s="3"/>
      <c r="Z54" s="3"/>
    </row>
    <row r="55">
      <c r="A55" s="27"/>
      <c r="B55" s="29"/>
      <c r="C55" s="75" t="s">
        <v>1031</v>
      </c>
      <c r="D55" s="75" t="s">
        <v>1031</v>
      </c>
      <c r="E55" s="75" t="s">
        <v>1031</v>
      </c>
      <c r="F55" s="75" t="s">
        <v>1031</v>
      </c>
      <c r="G55" s="75" t="s">
        <v>1031</v>
      </c>
      <c r="H55" s="4" t="s">
        <v>1014</v>
      </c>
      <c r="I55" s="10" t="s">
        <v>1014</v>
      </c>
      <c r="J55" s="60" t="s">
        <v>1014</v>
      </c>
      <c r="K55" s="10" t="s">
        <v>1014</v>
      </c>
      <c r="L55" s="75" t="s">
        <v>1018</v>
      </c>
      <c r="M55" s="75" t="s">
        <v>105</v>
      </c>
      <c r="N55" s="75" t="s">
        <v>105</v>
      </c>
      <c r="O55" s="75" t="s">
        <v>105</v>
      </c>
      <c r="P55" s="75" t="s">
        <v>105</v>
      </c>
      <c r="Q55" s="75" t="s">
        <v>1018</v>
      </c>
      <c r="R55" s="75" t="s">
        <v>1012</v>
      </c>
      <c r="S55" s="75" t="s">
        <v>1012</v>
      </c>
      <c r="T55" s="75" t="s">
        <v>1012</v>
      </c>
      <c r="U55" s="75" t="s">
        <v>1012</v>
      </c>
      <c r="V55" s="75" t="s">
        <v>1018</v>
      </c>
      <c r="W55" s="3"/>
      <c r="X55" s="3"/>
      <c r="Y55" s="3"/>
      <c r="Z55" s="3"/>
    </row>
    <row r="56">
      <c r="A56" s="27"/>
      <c r="B56" s="29"/>
      <c r="C56" s="91" t="s">
        <v>1034</v>
      </c>
      <c r="D56" s="91" t="s">
        <v>1038</v>
      </c>
      <c r="E56" s="91" t="s">
        <v>1040</v>
      </c>
      <c r="F56" s="91" t="s">
        <v>1044</v>
      </c>
      <c r="G56" s="91" t="s">
        <v>1047</v>
      </c>
      <c r="H56" s="87" t="s">
        <v>1050</v>
      </c>
      <c r="I56" s="69" t="s">
        <v>1052</v>
      </c>
      <c r="J56" s="85" t="s">
        <v>1053</v>
      </c>
      <c r="K56" s="91" t="s">
        <v>1055</v>
      </c>
      <c r="L56" s="91" t="s">
        <v>1056</v>
      </c>
      <c r="M56" s="91" t="s">
        <v>1059</v>
      </c>
      <c r="N56" s="91" t="s">
        <v>1062</v>
      </c>
      <c r="O56" s="91" t="s">
        <v>1065</v>
      </c>
      <c r="P56" s="91" t="s">
        <v>1067</v>
      </c>
      <c r="Q56" s="91" t="s">
        <v>1073</v>
      </c>
      <c r="R56" s="91" t="s">
        <v>1076</v>
      </c>
      <c r="S56" s="91" t="s">
        <v>1077</v>
      </c>
      <c r="T56" s="91" t="s">
        <v>1079</v>
      </c>
      <c r="U56" s="91" t="s">
        <v>1080</v>
      </c>
      <c r="V56" s="91" t="s">
        <v>1082</v>
      </c>
      <c r="W56" s="3"/>
      <c r="X56" s="3"/>
      <c r="Y56" s="3"/>
      <c r="Z56" s="3"/>
    </row>
    <row r="57">
      <c r="A57" s="27"/>
      <c r="B57" s="79"/>
      <c r="C57" s="152" t="s">
        <v>195</v>
      </c>
      <c r="D57" s="152" t="s">
        <v>195</v>
      </c>
      <c r="E57" s="152" t="s">
        <v>195</v>
      </c>
      <c r="F57" s="152" t="s">
        <v>31</v>
      </c>
      <c r="G57" s="152" t="s">
        <v>31</v>
      </c>
      <c r="H57" s="213" t="s">
        <v>31</v>
      </c>
      <c r="I57" s="94" t="s">
        <v>31</v>
      </c>
      <c r="J57" s="164" t="s">
        <v>31</v>
      </c>
      <c r="K57" s="152" t="s">
        <v>31</v>
      </c>
      <c r="L57" s="152" t="s">
        <v>31</v>
      </c>
      <c r="M57" s="152" t="s">
        <v>195</v>
      </c>
      <c r="N57" s="152" t="s">
        <v>195</v>
      </c>
      <c r="O57" s="152" t="s">
        <v>31</v>
      </c>
      <c r="P57" s="152" t="s">
        <v>31</v>
      </c>
      <c r="Q57" s="152" t="s">
        <v>195</v>
      </c>
      <c r="R57" s="98" t="str">
        <f>HYPERLINK("https://drive.google.com/folderview?id=0B0x_dulH5-nEOWVQWmhmUmU3QzQ&amp;usp=sharing","ดาวน์โหลดเอกสารประกอบ")</f>
        <v>ดาวน์โหลดเอกสารประกอบ</v>
      </c>
      <c r="S57" s="98" t="str">
        <f>HYPERLINK("https://drive.google.com/folderview?id=0B0x_dulH5-nEZmpVa0cySkl6aUU&amp;usp=sharing","ดาวน์โหลดเอกสารประกอบ")</f>
        <v>ดาวน์โหลดเอกสารประกอบ</v>
      </c>
      <c r="T57" s="98" t="str">
        <f>HYPERLINK("https://drive.google.com/folderview?id=0B0x_dulH5-nETWVLdE9BeFlsZm8&amp;usp=sharing","ดาวน์โหลดเอกสารประกอบ")</f>
        <v>ดาวน์โหลดเอกสารประกอบ</v>
      </c>
      <c r="U57" s="98" t="str">
        <f>HYPERLINK("https://drive.google.com/folderview?id=0B0x_dulH5-nEY2ZLRUZjZTk2Ukk&amp;usp=sharing","ดาวน์โหลดเอกสารประกอบ")</f>
        <v>ดาวน์โหลดเอกสารประกอบ</v>
      </c>
      <c r="V57" s="152" t="s">
        <v>31</v>
      </c>
      <c r="W57" s="3"/>
      <c r="X57" s="3"/>
      <c r="Y57" s="3"/>
      <c r="Z57" s="3"/>
    </row>
    <row r="58">
      <c r="A58" s="27"/>
      <c r="B58" s="5" t="s">
        <v>3</v>
      </c>
      <c r="C58" s="5" t="s">
        <v>4</v>
      </c>
      <c r="D58" s="12" t="s">
        <v>5</v>
      </c>
      <c r="E58" s="5" t="s">
        <v>6</v>
      </c>
      <c r="F58" s="5" t="s">
        <v>8</v>
      </c>
      <c r="G58" s="5" t="s">
        <v>9</v>
      </c>
      <c r="H58" s="14" t="s">
        <v>10</v>
      </c>
      <c r="I58" s="5" t="s">
        <v>11</v>
      </c>
      <c r="J58" s="12" t="s">
        <v>12</v>
      </c>
      <c r="K58" s="5" t="s">
        <v>13</v>
      </c>
      <c r="L58" s="5" t="s">
        <v>14</v>
      </c>
      <c r="M58" s="5" t="s">
        <v>15</v>
      </c>
      <c r="N58" s="5" t="s">
        <v>16</v>
      </c>
      <c r="O58" s="5" t="s">
        <v>17</v>
      </c>
      <c r="P58" s="5" t="s">
        <v>18</v>
      </c>
      <c r="Q58" s="5" t="s">
        <v>19</v>
      </c>
      <c r="R58" s="5" t="s">
        <v>20</v>
      </c>
      <c r="S58" s="5" t="s">
        <v>21</v>
      </c>
      <c r="T58" s="5" t="s">
        <v>22</v>
      </c>
      <c r="U58" s="5" t="s">
        <v>23</v>
      </c>
      <c r="V58" s="5" t="s">
        <v>24</v>
      </c>
      <c r="W58" s="3"/>
      <c r="X58" s="3"/>
      <c r="Y58" s="3"/>
      <c r="Z58" s="3"/>
    </row>
    <row r="59">
      <c r="A59" s="27"/>
      <c r="B59" s="13" t="s">
        <v>196</v>
      </c>
      <c r="C59" s="19" t="s">
        <v>39</v>
      </c>
      <c r="D59" s="19" t="s">
        <v>39</v>
      </c>
      <c r="E59" s="19" t="s">
        <v>39</v>
      </c>
      <c r="F59" s="19" t="s">
        <v>39</v>
      </c>
      <c r="G59" s="19" t="s">
        <v>39</v>
      </c>
      <c r="H59" s="139" t="s">
        <v>428</v>
      </c>
      <c r="I59" s="19" t="s">
        <v>42</v>
      </c>
      <c r="J59" s="140" t="s">
        <v>42</v>
      </c>
      <c r="K59" s="19" t="s">
        <v>428</v>
      </c>
      <c r="L59" s="19" t="s">
        <v>744</v>
      </c>
      <c r="M59" s="19" t="s">
        <v>744</v>
      </c>
      <c r="N59" s="19" t="s">
        <v>744</v>
      </c>
      <c r="O59" s="19" t="s">
        <v>744</v>
      </c>
      <c r="P59" s="19" t="s">
        <v>744</v>
      </c>
      <c r="Q59" s="19" t="s">
        <v>744</v>
      </c>
      <c r="R59" s="19" t="s">
        <v>744</v>
      </c>
      <c r="S59" s="19" t="s">
        <v>744</v>
      </c>
      <c r="T59" s="19" t="s">
        <v>744</v>
      </c>
      <c r="U59" s="19" t="s">
        <v>744</v>
      </c>
      <c r="V59" s="19" t="s">
        <v>744</v>
      </c>
      <c r="W59" s="3"/>
      <c r="X59" s="3"/>
      <c r="Y59" s="3"/>
      <c r="Z59" s="3"/>
    </row>
    <row r="60" ht="75.0" customHeight="1">
      <c r="A60" s="27"/>
      <c r="B60" s="29"/>
      <c r="C60" s="34" t="str">
        <f>HYPERLINK("https://www.youtube.com/watch?v=zkCFLEoUm-I","อัตราส่วน")</f>
        <v>อัตราส่วน</v>
      </c>
      <c r="D60" s="34" t="str">
        <f>HYPERLINK("https://www.youtube.com/watch?v=lQNLgQnNQDk","สัดส่วนและโจทย์สัดส่วน")</f>
        <v>สัดส่วนและโจทย์สัดส่วน</v>
      </c>
      <c r="E60" s="34" t="str">
        <f>HYPERLINK("https://www.youtube.com/watch?v=ZEdC0p2tWbk","ร้อยละ")</f>
        <v>ร้อยละ</v>
      </c>
      <c r="F60" s="34" t="str">
        <f>HYPERLINK("https://www.youtube.com/watch?v=ExcWRuuKl6M","โจทย์ร้อยละ ตอน 1")</f>
        <v>โจทย์ร้อยละ ตอน 1</v>
      </c>
      <c r="G60" s="34" t="str">
        <f>HYPERLINK("https://www.youtube.com/watch?v=ycc7ShqNSM8","โจทย์ร้อยละ ตอน 2")</f>
        <v>โจทย์ร้อยละ ตอน 2</v>
      </c>
      <c r="H60" s="44" t="s">
        <v>1084</v>
      </c>
      <c r="I60" s="46" t="s">
        <v>1085</v>
      </c>
      <c r="J60" s="42" t="s">
        <v>1086</v>
      </c>
      <c r="K60" s="46" t="s">
        <v>1087</v>
      </c>
      <c r="L60" s="46" t="s">
        <v>1088</v>
      </c>
      <c r="M60" s="46" t="s">
        <v>1089</v>
      </c>
      <c r="N60" s="46" t="s">
        <v>1090</v>
      </c>
      <c r="O60" s="46" t="s">
        <v>1091</v>
      </c>
      <c r="P60" s="46" t="s">
        <v>1092</v>
      </c>
      <c r="Q60" s="46" t="s">
        <v>1093</v>
      </c>
      <c r="R60" s="46" t="s">
        <v>1094</v>
      </c>
      <c r="S60" s="46" t="s">
        <v>1095</v>
      </c>
      <c r="T60" s="46" t="s">
        <v>1096</v>
      </c>
      <c r="U60" s="46" t="s">
        <v>1097</v>
      </c>
      <c r="V60" s="46" t="s">
        <v>1098</v>
      </c>
      <c r="W60" s="3"/>
      <c r="X60" s="3"/>
      <c r="Y60" s="3"/>
      <c r="Z60" s="3"/>
    </row>
    <row r="61">
      <c r="A61" s="27"/>
      <c r="B61" s="29"/>
      <c r="C61" s="10" t="s">
        <v>1099</v>
      </c>
      <c r="D61" s="10" t="s">
        <v>1099</v>
      </c>
      <c r="E61" s="10" t="s">
        <v>1099</v>
      </c>
      <c r="F61" s="10" t="s">
        <v>1099</v>
      </c>
      <c r="G61" s="10" t="s">
        <v>1099</v>
      </c>
      <c r="H61" s="4" t="s">
        <v>1100</v>
      </c>
      <c r="I61" s="10" t="s">
        <v>1100</v>
      </c>
      <c r="J61" s="60" t="s">
        <v>1100</v>
      </c>
      <c r="K61" s="10" t="s">
        <v>1100</v>
      </c>
      <c r="L61" s="75" t="s">
        <v>1101</v>
      </c>
      <c r="M61" s="75" t="s">
        <v>1101</v>
      </c>
      <c r="N61" s="75" t="s">
        <v>1101</v>
      </c>
      <c r="O61" s="75" t="s">
        <v>1101</v>
      </c>
      <c r="P61" s="10" t="s">
        <v>1102</v>
      </c>
      <c r="Q61" s="10" t="s">
        <v>1102</v>
      </c>
      <c r="R61" s="10" t="s">
        <v>1102</v>
      </c>
      <c r="S61" s="10" t="s">
        <v>1102</v>
      </c>
      <c r="T61" s="10" t="s">
        <v>1102</v>
      </c>
      <c r="U61" s="10" t="s">
        <v>1102</v>
      </c>
      <c r="V61" s="10" t="s">
        <v>1102</v>
      </c>
      <c r="W61" s="3"/>
      <c r="X61" s="3"/>
      <c r="Y61" s="3"/>
      <c r="Z61" s="3"/>
    </row>
    <row r="62" ht="15.0" customHeight="1">
      <c r="A62" s="27"/>
      <c r="B62" s="29"/>
      <c r="C62" s="10" t="s">
        <v>1009</v>
      </c>
      <c r="D62" s="10" t="s">
        <v>1009</v>
      </c>
      <c r="E62" s="10" t="s">
        <v>1009</v>
      </c>
      <c r="F62" s="10" t="s">
        <v>1009</v>
      </c>
      <c r="G62" s="10" t="s">
        <v>1009</v>
      </c>
      <c r="H62" s="4" t="s">
        <v>1103</v>
      </c>
      <c r="I62" s="10" t="s">
        <v>1103</v>
      </c>
      <c r="J62" s="60" t="s">
        <v>1103</v>
      </c>
      <c r="K62" s="10" t="s">
        <v>1103</v>
      </c>
      <c r="L62" s="75" t="s">
        <v>1104</v>
      </c>
      <c r="M62" s="75" t="s">
        <v>1104</v>
      </c>
      <c r="N62" s="75" t="s">
        <v>1104</v>
      </c>
      <c r="O62" s="75" t="s">
        <v>1104</v>
      </c>
      <c r="P62" s="10" t="s">
        <v>1105</v>
      </c>
      <c r="Q62" s="10" t="s">
        <v>1105</v>
      </c>
      <c r="R62" s="10" t="s">
        <v>1105</v>
      </c>
      <c r="S62" s="10" t="s">
        <v>1105</v>
      </c>
      <c r="T62" s="10" t="s">
        <v>1105</v>
      </c>
      <c r="U62" s="10" t="s">
        <v>1105</v>
      </c>
      <c r="V62" s="10" t="s">
        <v>1105</v>
      </c>
      <c r="W62" s="3"/>
      <c r="X62" s="3"/>
      <c r="Y62" s="3"/>
      <c r="Z62" s="3"/>
    </row>
    <row r="63">
      <c r="A63" s="27"/>
      <c r="B63" s="29"/>
      <c r="C63" s="10" t="s">
        <v>1106</v>
      </c>
      <c r="D63" s="10" t="s">
        <v>1106</v>
      </c>
      <c r="E63" s="10" t="s">
        <v>1106</v>
      </c>
      <c r="F63" s="10" t="s">
        <v>1106</v>
      </c>
      <c r="G63" s="10" t="s">
        <v>1106</v>
      </c>
      <c r="H63" s="4" t="s">
        <v>477</v>
      </c>
      <c r="I63" s="10" t="s">
        <v>477</v>
      </c>
      <c r="J63" s="60" t="s">
        <v>477</v>
      </c>
      <c r="K63" s="10" t="s">
        <v>477</v>
      </c>
      <c r="L63" s="75" t="s">
        <v>1107</v>
      </c>
      <c r="M63" s="75" t="s">
        <v>1107</v>
      </c>
      <c r="N63" s="75" t="s">
        <v>1107</v>
      </c>
      <c r="O63" s="75" t="s">
        <v>1107</v>
      </c>
      <c r="P63" s="10" t="s">
        <v>105</v>
      </c>
      <c r="Q63" s="10" t="s">
        <v>105</v>
      </c>
      <c r="R63" s="10" t="s">
        <v>105</v>
      </c>
      <c r="S63" s="10" t="s">
        <v>105</v>
      </c>
      <c r="T63" s="10" t="s">
        <v>105</v>
      </c>
      <c r="U63" s="10" t="s">
        <v>105</v>
      </c>
      <c r="V63" s="10" t="s">
        <v>105</v>
      </c>
      <c r="W63" s="3"/>
      <c r="X63" s="3"/>
      <c r="Y63" s="3"/>
      <c r="Z63" s="3"/>
    </row>
    <row r="64">
      <c r="A64" s="27"/>
      <c r="B64" s="29"/>
      <c r="C64" s="250" t="s">
        <v>1110</v>
      </c>
      <c r="D64" s="91" t="s">
        <v>1111</v>
      </c>
      <c r="E64" s="91" t="s">
        <v>1112</v>
      </c>
      <c r="F64" s="91" t="s">
        <v>1113</v>
      </c>
      <c r="G64" s="91" t="s">
        <v>1114</v>
      </c>
      <c r="H64" s="87" t="s">
        <v>1115</v>
      </c>
      <c r="I64" s="69" t="s">
        <v>1116</v>
      </c>
      <c r="J64" s="85" t="s">
        <v>1117</v>
      </c>
      <c r="K64" s="91" t="s">
        <v>1118</v>
      </c>
      <c r="L64" s="91" t="s">
        <v>1119</v>
      </c>
      <c r="M64" s="91" t="s">
        <v>1120</v>
      </c>
      <c r="N64" s="91" t="s">
        <v>1121</v>
      </c>
      <c r="O64" s="91" t="s">
        <v>1122</v>
      </c>
      <c r="P64" s="91" t="s">
        <v>1125</v>
      </c>
      <c r="Q64" s="91" t="s">
        <v>1132</v>
      </c>
      <c r="R64" s="91" t="s">
        <v>1141</v>
      </c>
      <c r="S64" s="91" t="s">
        <v>1146</v>
      </c>
      <c r="T64" s="91" t="s">
        <v>1147</v>
      </c>
      <c r="U64" s="91" t="s">
        <v>1149</v>
      </c>
      <c r="V64" s="91" t="s">
        <v>1155</v>
      </c>
      <c r="W64" s="3"/>
      <c r="X64" s="3"/>
      <c r="Y64" s="3"/>
      <c r="Z64" s="3"/>
    </row>
    <row r="65">
      <c r="A65" s="27"/>
      <c r="B65" s="79"/>
      <c r="C65" s="98" t="str">
        <f>HYPERLINK("https://drive.google.com/folderview?id=0B4mky1MMW8dYfmJiRzBFbXNxSXhRWHJWQTVlNTA1U3hCT21jQTVUNHg5SGxUSG9zdjBVNXc&amp;usp=sharing","ดาวน์โหลดเอกสารประกอบ")</f>
        <v>ดาวน์โหลดเอกสารประกอบ</v>
      </c>
      <c r="D65" s="98" t="str">
        <f>HYPERLINK("https://drive.google.com/folderview?id=0B4mky1MMW8dYfmduV3ZFVF9qVWZHcTVhX3ZVVThMRXlLX1hmNkpXOWkxVUo2QnBJZTE5Sjg&amp;usp=sharing","ดาวน์โหลดเอกสารประกอบ")</f>
        <v>ดาวน์โหลดเอกสารประกอบ</v>
      </c>
      <c r="E65" s="98" t="str">
        <f>HYPERLINK("https://drive.google.com/folderview?id=0B4mky1MMW8dYfjJRNE9zaHV4dmJteGFwaXQzWHdDb2NkZlR6b1ZXdHZrMnZNekROb1UySjQ&amp;usp=sharing","ดาวน์โหลดเอกสารประกอบ")</f>
        <v>ดาวน์โหลดเอกสารประกอบ</v>
      </c>
      <c r="F65" s="98" t="str">
        <f>HYPERLINK("https://drive.google.com/folderview?id=0B4mky1MMW8dYfm05T2s1eXczbjhjWjlZSld3SFpQM29KRml5cW5lWENZcndHdEsweFRzalU&amp;usp=sharing","ดาวน์โหลดเอกสารประกอบ")</f>
        <v>ดาวน์โหลดเอกสารประกอบ</v>
      </c>
      <c r="G65" s="98" t="str">
        <f>HYPERLINK("https://drive.google.com/folderview?id=0B4mky1MMW8dYfmdWSFM1M2VnaDdLNGM0aktPdE5zSHdHR3Y3UHRVckR6LWYyU1l5ak5Kb0E&amp;usp=sharing","ดาวน์โหลดเอกสารประกอบ")</f>
        <v>ดาวน์โหลดเอกสารประกอบ</v>
      </c>
      <c r="H65" s="213" t="s">
        <v>31</v>
      </c>
      <c r="I65" s="75" t="s">
        <v>31</v>
      </c>
      <c r="J65" s="164" t="s">
        <v>31</v>
      </c>
      <c r="K65" s="152" t="s">
        <v>31</v>
      </c>
      <c r="L65" s="98" t="str">
        <f>HYPERLINK("https://drive.google.com/folderview?id=0B0x_dulH5-nEaFR5N0ZvOUNFNVE&amp;usp=sharing","ดาวน์โหลดเอกสารประกอบ")</f>
        <v>ดาวน์โหลดเอกสารประกอบ</v>
      </c>
      <c r="M65" s="98" t="str">
        <f>HYPERLINK("https://drive.google.com/folderview?id=0B0x_dulH5-nEbHJLYVpNOFV5bHM&amp;usp=sharing","ดาวน์โหลดเอกสารประกอบ")</f>
        <v>ดาวน์โหลดเอกสารประกอบ</v>
      </c>
      <c r="N65" s="98" t="str">
        <f>HYPERLINK("https://drive.google.com/folderview?id=0B0x_dulH5-nENjZEUkF1eEpMTWc&amp;usp=sharing","ดาวน์โหลดเอกสารประกอบ")</f>
        <v>ดาวน์โหลดเอกสารประกอบ</v>
      </c>
      <c r="O65" s="98" t="str">
        <f>HYPERLINK("https://drive.google.com/folderview?id=0B0x_dulH5-nEOFZSWE15bVVCRE0&amp;usp=sharing","ดาวน์โหลดเอกสารประกอบ")</f>
        <v>ดาวน์โหลดเอกสารประกอบ</v>
      </c>
      <c r="P65" s="152" t="s">
        <v>31</v>
      </c>
      <c r="Q65" s="152" t="s">
        <v>31</v>
      </c>
      <c r="R65" s="152" t="s">
        <v>31</v>
      </c>
      <c r="S65" s="152" t="s">
        <v>31</v>
      </c>
      <c r="T65" s="152" t="s">
        <v>31</v>
      </c>
      <c r="U65" s="152" t="s">
        <v>31</v>
      </c>
      <c r="V65" s="152" t="s">
        <v>31</v>
      </c>
      <c r="W65" s="3"/>
      <c r="X65" s="3"/>
      <c r="Y65" s="3"/>
      <c r="Z65" s="3"/>
    </row>
    <row r="66">
      <c r="A66" s="27"/>
      <c r="B66" s="5" t="s">
        <v>3</v>
      </c>
      <c r="C66" s="5" t="s">
        <v>4</v>
      </c>
      <c r="D66" s="12" t="s">
        <v>5</v>
      </c>
      <c r="E66" s="5" t="s">
        <v>6</v>
      </c>
      <c r="F66" s="5" t="s">
        <v>8</v>
      </c>
      <c r="G66" s="5" t="s">
        <v>9</v>
      </c>
      <c r="H66" s="14" t="s">
        <v>10</v>
      </c>
      <c r="I66" s="5" t="s">
        <v>11</v>
      </c>
      <c r="J66" s="12" t="s">
        <v>12</v>
      </c>
      <c r="K66" s="5" t="s">
        <v>13</v>
      </c>
      <c r="L66" s="5" t="s">
        <v>14</v>
      </c>
      <c r="M66" s="5" t="s">
        <v>15</v>
      </c>
      <c r="N66" s="5" t="s">
        <v>16</v>
      </c>
      <c r="O66" s="5" t="s">
        <v>17</v>
      </c>
      <c r="P66" s="5" t="s">
        <v>18</v>
      </c>
      <c r="Q66" s="5" t="s">
        <v>19</v>
      </c>
      <c r="R66" s="5" t="s">
        <v>20</v>
      </c>
      <c r="S66" s="5" t="s">
        <v>21</v>
      </c>
      <c r="T66" s="5" t="s">
        <v>22</v>
      </c>
      <c r="U66" s="5" t="s">
        <v>23</v>
      </c>
      <c r="V66" s="5" t="s">
        <v>24</v>
      </c>
      <c r="W66" s="259"/>
      <c r="X66" s="3"/>
      <c r="Y66" s="3"/>
      <c r="Z66" s="194"/>
    </row>
    <row r="67">
      <c r="A67" s="27"/>
      <c r="B67" s="13" t="s">
        <v>241</v>
      </c>
      <c r="C67" s="19" t="s">
        <v>1220</v>
      </c>
      <c r="D67" s="19" t="s">
        <v>1220</v>
      </c>
      <c r="E67" s="19" t="s">
        <v>1220</v>
      </c>
      <c r="F67" s="19" t="s">
        <v>1220</v>
      </c>
      <c r="G67" s="141" t="s">
        <v>1221</v>
      </c>
      <c r="H67" s="141" t="s">
        <v>1221</v>
      </c>
      <c r="I67" s="141" t="s">
        <v>1221</v>
      </c>
      <c r="J67" s="141" t="s">
        <v>1221</v>
      </c>
      <c r="K67" s="141" t="s">
        <v>1221</v>
      </c>
      <c r="L67" s="19" t="s">
        <v>1221</v>
      </c>
      <c r="M67" s="19" t="s">
        <v>1221</v>
      </c>
      <c r="N67" s="19" t="s">
        <v>1221</v>
      </c>
      <c r="O67" s="19" t="s">
        <v>1221</v>
      </c>
      <c r="P67" s="19" t="s">
        <v>1221</v>
      </c>
      <c r="Q67" s="19" t="s">
        <v>1221</v>
      </c>
      <c r="R67" s="19" t="s">
        <v>1221</v>
      </c>
      <c r="S67" s="19" t="s">
        <v>1221</v>
      </c>
      <c r="T67" s="19" t="s">
        <v>744</v>
      </c>
      <c r="U67" s="19" t="s">
        <v>744</v>
      </c>
      <c r="V67" s="19" t="s">
        <v>744</v>
      </c>
      <c r="W67" s="253"/>
      <c r="X67" s="3"/>
      <c r="Y67" s="3"/>
      <c r="Z67" s="3"/>
    </row>
    <row r="68" ht="61.5" customHeight="1">
      <c r="A68" s="27"/>
      <c r="B68" s="29"/>
      <c r="C68" s="39" t="str">
        <f>HYPERLINK("https://www.youtube.com/watch?v=9aBCA-0_vPQ","พื้นที่ของปริซึม")</f>
        <v>พื้นที่ของปริซึม</v>
      </c>
      <c r="D68" s="261" t="str">
        <f>HYPERLINK("https://www.youtube.com/watch?v=hqJbDO8MrdY","ปริมาตรของปริซึม")</f>
        <v>ปริมาตรของปริซึม</v>
      </c>
      <c r="E68" s="55" t="s">
        <v>1229</v>
      </c>
      <c r="F68" s="55" t="s">
        <v>1230</v>
      </c>
      <c r="G68" s="55" t="s">
        <v>1231</v>
      </c>
      <c r="H68" s="200" t="s">
        <v>1232</v>
      </c>
      <c r="I68" s="55" t="s">
        <v>1233</v>
      </c>
      <c r="J68" s="48" t="s">
        <v>1234</v>
      </c>
      <c r="K68" s="55" t="s">
        <v>1235</v>
      </c>
      <c r="L68" s="46" t="s">
        <v>1236</v>
      </c>
      <c r="M68" s="46" t="s">
        <v>1237</v>
      </c>
      <c r="N68" s="46" t="s">
        <v>1238</v>
      </c>
      <c r="O68" s="55" t="s">
        <v>1239</v>
      </c>
      <c r="P68" s="55" t="s">
        <v>1240</v>
      </c>
      <c r="Q68" s="55" t="s">
        <v>1241</v>
      </c>
      <c r="R68" s="55" t="s">
        <v>1242</v>
      </c>
      <c r="S68" s="55" t="s">
        <v>1243</v>
      </c>
      <c r="T68" s="46" t="s">
        <v>1244</v>
      </c>
      <c r="U68" s="46" t="s">
        <v>1245</v>
      </c>
      <c r="V68" s="55" t="s">
        <v>1246</v>
      </c>
      <c r="W68" s="262"/>
      <c r="X68" s="3"/>
      <c r="Y68" s="3"/>
      <c r="Z68" s="3"/>
    </row>
    <row r="69">
      <c r="A69" s="27"/>
      <c r="B69" s="29"/>
      <c r="C69" s="10" t="s">
        <v>1247</v>
      </c>
      <c r="D69" s="10" t="s">
        <v>1247</v>
      </c>
      <c r="E69" s="10" t="s">
        <v>1247</v>
      </c>
      <c r="F69" s="10" t="s">
        <v>1247</v>
      </c>
      <c r="G69" s="75" t="s">
        <v>1248</v>
      </c>
      <c r="H69" s="202" t="s">
        <v>1248</v>
      </c>
      <c r="I69" s="75" t="s">
        <v>1248</v>
      </c>
      <c r="J69" s="62" t="s">
        <v>1248</v>
      </c>
      <c r="K69" s="75" t="s">
        <v>1248</v>
      </c>
      <c r="L69" s="10" t="s">
        <v>1249</v>
      </c>
      <c r="M69" s="10" t="s">
        <v>1249</v>
      </c>
      <c r="N69" s="10" t="s">
        <v>1249</v>
      </c>
      <c r="O69" s="202" t="s">
        <v>1248</v>
      </c>
      <c r="P69" s="202" t="s">
        <v>1248</v>
      </c>
      <c r="Q69" s="202" t="s">
        <v>1248</v>
      </c>
      <c r="R69" s="202" t="s">
        <v>1248</v>
      </c>
      <c r="S69" s="202" t="s">
        <v>1248</v>
      </c>
      <c r="T69" s="75" t="s">
        <v>1250</v>
      </c>
      <c r="U69" s="75" t="s">
        <v>1250</v>
      </c>
      <c r="V69" s="75" t="s">
        <v>1251</v>
      </c>
      <c r="W69" s="259"/>
      <c r="X69" s="3"/>
      <c r="Y69" s="3"/>
      <c r="Z69" s="3"/>
    </row>
    <row r="70">
      <c r="A70" s="27"/>
      <c r="B70" s="29"/>
      <c r="C70" s="10" t="s">
        <v>1190</v>
      </c>
      <c r="D70" s="10" t="s">
        <v>1190</v>
      </c>
      <c r="E70" s="10" t="s">
        <v>1190</v>
      </c>
      <c r="F70" s="10" t="s">
        <v>1190</v>
      </c>
      <c r="G70" s="75" t="s">
        <v>1006</v>
      </c>
      <c r="H70" s="202" t="s">
        <v>1006</v>
      </c>
      <c r="I70" s="75" t="s">
        <v>1006</v>
      </c>
      <c r="J70" s="62" t="s">
        <v>1006</v>
      </c>
      <c r="K70" s="75" t="s">
        <v>1006</v>
      </c>
      <c r="L70" s="10" t="s">
        <v>1252</v>
      </c>
      <c r="M70" s="10" t="s">
        <v>1252</v>
      </c>
      <c r="N70" s="10" t="s">
        <v>1252</v>
      </c>
      <c r="O70" s="202" t="s">
        <v>1006</v>
      </c>
      <c r="P70" s="202" t="s">
        <v>1006</v>
      </c>
      <c r="Q70" s="202" t="s">
        <v>1006</v>
      </c>
      <c r="R70" s="202" t="s">
        <v>1006</v>
      </c>
      <c r="S70" s="202" t="s">
        <v>1006</v>
      </c>
      <c r="T70" s="75" t="s">
        <v>1253</v>
      </c>
      <c r="U70" s="75" t="s">
        <v>1253</v>
      </c>
      <c r="V70" s="75" t="s">
        <v>1253</v>
      </c>
      <c r="W70" s="259"/>
      <c r="X70" s="3"/>
      <c r="Y70" s="3"/>
      <c r="Z70" s="3"/>
    </row>
    <row r="71">
      <c r="A71" s="27"/>
      <c r="B71" s="29"/>
      <c r="C71" s="10" t="s">
        <v>1196</v>
      </c>
      <c r="D71" s="10" t="s">
        <v>1196</v>
      </c>
      <c r="E71" s="10" t="s">
        <v>1196</v>
      </c>
      <c r="F71" s="10" t="s">
        <v>1196</v>
      </c>
      <c r="G71" s="75" t="s">
        <v>1018</v>
      </c>
      <c r="H71" s="202" t="s">
        <v>1018</v>
      </c>
      <c r="I71" s="75" t="s">
        <v>1018</v>
      </c>
      <c r="J71" s="62" t="s">
        <v>1018</v>
      </c>
      <c r="K71" s="75" t="s">
        <v>1018</v>
      </c>
      <c r="L71" s="10" t="s">
        <v>861</v>
      </c>
      <c r="M71" s="10" t="s">
        <v>861</v>
      </c>
      <c r="N71" s="10" t="s">
        <v>861</v>
      </c>
      <c r="O71" s="202" t="s">
        <v>1018</v>
      </c>
      <c r="P71" s="202" t="s">
        <v>1018</v>
      </c>
      <c r="Q71" s="202" t="s">
        <v>1018</v>
      </c>
      <c r="R71" s="202" t="s">
        <v>1018</v>
      </c>
      <c r="S71" s="202" t="s">
        <v>1018</v>
      </c>
      <c r="T71" s="75" t="s">
        <v>1254</v>
      </c>
      <c r="U71" s="75" t="s">
        <v>1254</v>
      </c>
      <c r="V71" s="75" t="s">
        <v>1254</v>
      </c>
      <c r="W71" s="259"/>
      <c r="X71" s="3"/>
      <c r="Y71" s="3"/>
      <c r="Z71" s="3"/>
    </row>
    <row r="72">
      <c r="A72" s="27"/>
      <c r="B72" s="29"/>
      <c r="C72" s="91" t="s">
        <v>1255</v>
      </c>
      <c r="D72" s="91" t="s">
        <v>1256</v>
      </c>
      <c r="E72" s="263" t="s">
        <v>1257</v>
      </c>
      <c r="F72" s="91" t="s">
        <v>1258</v>
      </c>
      <c r="G72" s="91" t="s">
        <v>1259</v>
      </c>
      <c r="H72" s="87" t="s">
        <v>1260</v>
      </c>
      <c r="I72" s="69" t="s">
        <v>1261</v>
      </c>
      <c r="J72" s="85" t="s">
        <v>1262</v>
      </c>
      <c r="K72" s="91" t="s">
        <v>1263</v>
      </c>
      <c r="L72" s="91" t="s">
        <v>1264</v>
      </c>
      <c r="M72" s="91" t="s">
        <v>1265</v>
      </c>
      <c r="N72" s="91" t="s">
        <v>1266</v>
      </c>
      <c r="O72" s="91" t="s">
        <v>1267</v>
      </c>
      <c r="P72" s="91" t="s">
        <v>1268</v>
      </c>
      <c r="Q72" s="91" t="s">
        <v>1269</v>
      </c>
      <c r="R72" s="91" t="s">
        <v>1270</v>
      </c>
      <c r="S72" s="91" t="s">
        <v>1271</v>
      </c>
      <c r="T72" s="91" t="s">
        <v>1278</v>
      </c>
      <c r="U72" s="91" t="s">
        <v>1281</v>
      </c>
      <c r="V72" s="91" t="s">
        <v>1282</v>
      </c>
      <c r="W72" s="259"/>
      <c r="X72" s="3"/>
      <c r="Y72" s="3"/>
      <c r="Z72" s="3"/>
    </row>
    <row r="73">
      <c r="A73" s="27"/>
      <c r="B73" s="79"/>
      <c r="C73" s="98" t="str">
        <f>HYPERLINK("https://drive.google.com/folderview?id=0B4mky1MMW8dYfms4bk9MYUVEOXlnamlSZkNnWERVTEZlR3UtLWhoY0hxMHk1VTEta0tjeW8&amp;usp=sharing","ดาวน์โหลดเอกสารประกอบ")</f>
        <v>ดาวน์โหลดเอกสารประกอบ</v>
      </c>
      <c r="D73" s="98" t="str">
        <f>HYPERLINK("https://drive.google.com/folderview?id=0B4mky1MMW8dYfl96Qm9qcHo1M3pvZmU0azhybnJoX2JYLXU2RDcxZ2Q5LWxIazM5VEttcDQ&amp;usp=sharing","ดาวน์โหลดเอกสารประกอบ")</f>
        <v>ดาวน์โหลดเอกสารประกอบ</v>
      </c>
      <c r="E73" s="98" t="str">
        <f>HYPERLINK("https://drive.google.com/folderview?id=0B4mky1MMW8dYfnM3V3o0R05vU1o3NVVlYmd2UTk3VkJhVnRBVFlzS1Q1b0JJbzhTdUhHTlk&amp;usp=sharing","ดาวน์โหลดเอกสารประกอบ")</f>
        <v>ดาวน์โหลดเอกสารประกอบ</v>
      </c>
      <c r="F73" s="98" t="str">
        <f>HYPERLINK("https://drive.google.com/folderview?id=0B4mky1MMW8dYfndZYnV5YU1GVHotcVl5bHhxTjV1LUVjODg1aDZJbGtOcE1RZFZzSVYxQ2M&amp;usp=sharing","ดาวน์โหลดเอกสารประกอบ")</f>
        <v>ดาวน์โหลดเอกสารประกอบ</v>
      </c>
      <c r="G73" s="152" t="s">
        <v>195</v>
      </c>
      <c r="H73" s="213" t="s">
        <v>195</v>
      </c>
      <c r="I73" s="94" t="s">
        <v>195</v>
      </c>
      <c r="J73" s="164" t="s">
        <v>195</v>
      </c>
      <c r="K73" s="152" t="s">
        <v>195</v>
      </c>
      <c r="L73" s="98" t="str">
        <f>HYPERLINK("https://drive.google.com/folderview?id=0BydHLJgPtYsXfjNtOXI2OEUwUy1wWmhwN1pESTdHT0VFTHlWYW1Cc1N0aGhUMnhCMGpBa00&amp;usp=sharing","ดาวน์โหลดเอกสารประกอบ")</f>
        <v>ดาวน์โหลดเอกสารประกอบ</v>
      </c>
      <c r="M73" s="98" t="str">
        <f>HYPERLINK("https://drive.google.com/folderview?id=0BydHLJgPtYsXfmdNWmQ3aTJnZHNLRlhZSno5cjV3dUp4NFFrbWhySjFIei1EUl9vdmNmV2M&amp;usp=sharing","ดาวน์โหลดเอกสารประกอบ")</f>
        <v>ดาวน์โหลดเอกสารประกอบ</v>
      </c>
      <c r="N73" s="98" t="str">
        <f>HYPERLINK("https://drive.google.com/folderview?id=0BydHLJgPtYsXfkVMd05hdE12RjI4UkJTUVZxaEVfcFZEYlBoVVdjQy1uSGdTSk9rNFJDdTg&amp;usp=sharing","ดาวน์โหลดเอกสารประกอบ")</f>
        <v>ดาวน์โหลดเอกสารประกอบ</v>
      </c>
      <c r="O73" s="152" t="s">
        <v>31</v>
      </c>
      <c r="P73" s="152" t="s">
        <v>31</v>
      </c>
      <c r="Q73" s="152" t="s">
        <v>31</v>
      </c>
      <c r="R73" s="152" t="s">
        <v>31</v>
      </c>
      <c r="S73" s="152" t="s">
        <v>31</v>
      </c>
      <c r="T73" s="152" t="s">
        <v>31</v>
      </c>
      <c r="U73" s="152" t="s">
        <v>31</v>
      </c>
      <c r="V73" s="152" t="s">
        <v>31</v>
      </c>
      <c r="W73" s="247"/>
      <c r="X73" s="3"/>
      <c r="Y73" s="3"/>
      <c r="Z73" s="3"/>
    </row>
    <row r="74">
      <c r="A74" s="27"/>
      <c r="B74" s="5" t="s">
        <v>3</v>
      </c>
      <c r="C74" s="5" t="s">
        <v>4</v>
      </c>
      <c r="D74" s="12" t="s">
        <v>5</v>
      </c>
      <c r="E74" s="5" t="s">
        <v>6</v>
      </c>
      <c r="F74" s="5" t="s">
        <v>8</v>
      </c>
      <c r="G74" s="5" t="s">
        <v>9</v>
      </c>
      <c r="H74" s="14" t="s">
        <v>10</v>
      </c>
      <c r="I74" s="242" t="s">
        <v>11</v>
      </c>
      <c r="J74" s="12" t="s">
        <v>12</v>
      </c>
      <c r="K74" s="5" t="s">
        <v>13</v>
      </c>
      <c r="L74" s="5" t="s">
        <v>14</v>
      </c>
      <c r="M74" s="5" t="s">
        <v>15</v>
      </c>
      <c r="N74" s="5" t="s">
        <v>16</v>
      </c>
      <c r="O74" s="5" t="s">
        <v>17</v>
      </c>
      <c r="P74" s="5" t="s">
        <v>18</v>
      </c>
      <c r="Q74" s="5" t="s">
        <v>19</v>
      </c>
      <c r="R74" s="5" t="s">
        <v>20</v>
      </c>
      <c r="S74" s="5" t="s">
        <v>21</v>
      </c>
      <c r="T74" s="5" t="s">
        <v>22</v>
      </c>
      <c r="U74" s="5" t="s">
        <v>23</v>
      </c>
      <c r="V74" s="5" t="s">
        <v>24</v>
      </c>
      <c r="W74" s="117" t="s">
        <v>25</v>
      </c>
      <c r="X74" s="5" t="s">
        <v>26</v>
      </c>
      <c r="Y74" s="5" t="s">
        <v>27</v>
      </c>
      <c r="Z74" s="3"/>
    </row>
    <row r="75">
      <c r="A75" s="27"/>
      <c r="B75" s="13" t="s">
        <v>1348</v>
      </c>
      <c r="C75" s="19" t="s">
        <v>430</v>
      </c>
      <c r="D75" s="19" t="s">
        <v>430</v>
      </c>
      <c r="E75" s="19" t="s">
        <v>430</v>
      </c>
      <c r="F75" s="19" t="s">
        <v>430</v>
      </c>
      <c r="G75" s="19" t="s">
        <v>1221</v>
      </c>
      <c r="H75" s="139" t="s">
        <v>1221</v>
      </c>
      <c r="I75" s="19" t="s">
        <v>1354</v>
      </c>
      <c r="J75" s="140" t="s">
        <v>1354</v>
      </c>
      <c r="K75" s="19" t="s">
        <v>1355</v>
      </c>
      <c r="L75" s="19" t="s">
        <v>1221</v>
      </c>
      <c r="M75" s="19" t="s">
        <v>1221</v>
      </c>
      <c r="N75" s="19" t="s">
        <v>1221</v>
      </c>
      <c r="O75" s="19" t="s">
        <v>1221</v>
      </c>
      <c r="P75" s="19" t="s">
        <v>1221</v>
      </c>
      <c r="Q75" s="19" t="s">
        <v>39</v>
      </c>
      <c r="R75" s="19" t="s">
        <v>1357</v>
      </c>
      <c r="S75" s="19" t="s">
        <v>1357</v>
      </c>
      <c r="T75" s="19" t="s">
        <v>1357</v>
      </c>
      <c r="U75" s="19" t="s">
        <v>1357</v>
      </c>
      <c r="V75" s="19" t="s">
        <v>1357</v>
      </c>
      <c r="W75" s="21" t="s">
        <v>1357</v>
      </c>
      <c r="X75" s="21" t="s">
        <v>1357</v>
      </c>
      <c r="Y75" s="21" t="s">
        <v>1357</v>
      </c>
      <c r="Z75" s="3"/>
    </row>
    <row r="76" ht="45.0" customHeight="1">
      <c r="A76" s="27"/>
      <c r="B76" s="29"/>
      <c r="C76" s="177" t="str">
        <f>HYPERLINK("https://www.youtube.com/watch?v=B9oNjZpohpk","""เซต, เอกภพสัมพัทธ์,  สมาชิกของเซต""")</f>
        <v>"เซต, เอกภพสัมพัทธ์,  สมาชิกของเซต"</v>
      </c>
      <c r="D76" s="267" t="str">
        <f>HYPERLINK("https://www.youtube.com/watch?v=RTUBNShU8mU","สับเซต / เพาเวอร์เซต ตอน 1")</f>
        <v>สับเซต / เพาเวอร์เซต ตอน 1</v>
      </c>
      <c r="E76" s="34" t="str">
        <f>HYPERLINK("https://www.youtube.com/watch?v=-IqL6nABj48","เพาเวอร์เซต ตอน 2 /  การดำเนินการของเซต ตอน 1")</f>
        <v>เพาเวอร์เซต ตอน 2 /  การดำเนินการของเซต ตอน 1</v>
      </c>
      <c r="F76" s="34" t="str">
        <f>HYPERLINK("https://www.youtube.com/watch?v=99hNgbhPhGo","การดำเนินการของเซต ตอน 2")</f>
        <v>การดำเนินการของเซต ตอน 2</v>
      </c>
      <c r="G76" s="46" t="s">
        <v>1372</v>
      </c>
      <c r="H76" s="44" t="s">
        <v>1373</v>
      </c>
      <c r="I76" s="55" t="s">
        <v>1374</v>
      </c>
      <c r="J76" s="48" t="s">
        <v>1375</v>
      </c>
      <c r="K76" s="46" t="s">
        <v>1376</v>
      </c>
      <c r="L76" s="55" t="s">
        <v>1377</v>
      </c>
      <c r="M76" s="55" t="s">
        <v>1378</v>
      </c>
      <c r="N76" s="55" t="s">
        <v>1379</v>
      </c>
      <c r="O76" s="46" t="s">
        <v>1380</v>
      </c>
      <c r="P76" s="46" t="s">
        <v>1381</v>
      </c>
      <c r="Q76" s="46" t="s">
        <v>1382</v>
      </c>
      <c r="R76" s="46" t="s">
        <v>1383</v>
      </c>
      <c r="S76" s="46" t="s">
        <v>1384</v>
      </c>
      <c r="T76" s="55" t="s">
        <v>1385</v>
      </c>
      <c r="U76" s="55" t="s">
        <v>1386</v>
      </c>
      <c r="V76" s="46" t="s">
        <v>1387</v>
      </c>
      <c r="W76" s="46" t="s">
        <v>1388</v>
      </c>
      <c r="X76" s="46" t="s">
        <v>1389</v>
      </c>
      <c r="Y76" s="55" t="s">
        <v>1390</v>
      </c>
      <c r="Z76" s="3"/>
    </row>
    <row r="77">
      <c r="A77" s="27"/>
      <c r="B77" s="29"/>
      <c r="C77" s="10" t="s">
        <v>1391</v>
      </c>
      <c r="D77" s="10" t="s">
        <v>1391</v>
      </c>
      <c r="E77" s="10" t="s">
        <v>1391</v>
      </c>
      <c r="F77" s="10" t="s">
        <v>1391</v>
      </c>
      <c r="G77" s="268" t="s">
        <v>1392</v>
      </c>
      <c r="H77" s="202" t="s">
        <v>1392</v>
      </c>
      <c r="I77" s="75" t="s">
        <v>1393</v>
      </c>
      <c r="J77" s="62" t="s">
        <v>1393</v>
      </c>
      <c r="K77" s="75" t="s">
        <v>1394</v>
      </c>
      <c r="L77" s="75" t="s">
        <v>1395</v>
      </c>
      <c r="M77" s="75" t="s">
        <v>1395</v>
      </c>
      <c r="N77" s="75" t="s">
        <v>1395</v>
      </c>
      <c r="O77" s="75" t="s">
        <v>1395</v>
      </c>
      <c r="P77" s="10"/>
      <c r="Q77" s="75" t="s">
        <v>1393</v>
      </c>
      <c r="R77" s="75" t="s">
        <v>1393</v>
      </c>
      <c r="S77" s="75" t="s">
        <v>1393</v>
      </c>
      <c r="T77" s="75" t="s">
        <v>1393</v>
      </c>
      <c r="U77" s="75" t="s">
        <v>1393</v>
      </c>
      <c r="V77" s="75" t="s">
        <v>1396</v>
      </c>
      <c r="W77" s="75" t="s">
        <v>1396</v>
      </c>
      <c r="X77" s="75" t="s">
        <v>1396</v>
      </c>
      <c r="Y77" s="75" t="s">
        <v>1396</v>
      </c>
      <c r="Z77" s="3"/>
    </row>
    <row r="78" ht="15.0" customHeight="1">
      <c r="A78" s="27"/>
      <c r="B78" s="29"/>
      <c r="C78" s="10" t="s">
        <v>1397</v>
      </c>
      <c r="D78" s="10" t="s">
        <v>1397</v>
      </c>
      <c r="E78" s="10" t="s">
        <v>1397</v>
      </c>
      <c r="F78" s="10" t="s">
        <v>1397</v>
      </c>
      <c r="G78" s="75" t="s">
        <v>1398</v>
      </c>
      <c r="H78" s="202" t="s">
        <v>1398</v>
      </c>
      <c r="I78" s="75" t="s">
        <v>1399</v>
      </c>
      <c r="J78" s="62" t="s">
        <v>1399</v>
      </c>
      <c r="K78" s="75" t="s">
        <v>1400</v>
      </c>
      <c r="L78" s="75" t="s">
        <v>1401</v>
      </c>
      <c r="M78" s="75" t="s">
        <v>1401</v>
      </c>
      <c r="N78" s="75" t="s">
        <v>1401</v>
      </c>
      <c r="O78" s="75" t="s">
        <v>1401</v>
      </c>
      <c r="P78" s="10"/>
      <c r="Q78" s="75" t="s">
        <v>1399</v>
      </c>
      <c r="R78" s="75" t="s">
        <v>1399</v>
      </c>
      <c r="S78" s="75" t="s">
        <v>1399</v>
      </c>
      <c r="T78" s="75" t="s">
        <v>1399</v>
      </c>
      <c r="U78" s="75" t="s">
        <v>1399</v>
      </c>
      <c r="V78" s="75" t="s">
        <v>1402</v>
      </c>
      <c r="W78" s="141" t="s">
        <v>1402</v>
      </c>
      <c r="X78" s="141" t="s">
        <v>1402</v>
      </c>
      <c r="Y78" s="141" t="s">
        <v>1402</v>
      </c>
      <c r="Z78" s="3"/>
    </row>
    <row r="79">
      <c r="A79" s="27"/>
      <c r="B79" s="29"/>
      <c r="C79" s="10" t="s">
        <v>105</v>
      </c>
      <c r="D79" s="10" t="s">
        <v>105</v>
      </c>
      <c r="E79" s="10" t="s">
        <v>105</v>
      </c>
      <c r="F79" s="10" t="s">
        <v>105</v>
      </c>
      <c r="G79" s="75" t="s">
        <v>1403</v>
      </c>
      <c r="H79" s="202" t="s">
        <v>1403</v>
      </c>
      <c r="I79" s="10" t="s">
        <v>105</v>
      </c>
      <c r="J79" s="60" t="s">
        <v>105</v>
      </c>
      <c r="K79" s="75" t="s">
        <v>105</v>
      </c>
      <c r="L79" s="75" t="s">
        <v>106</v>
      </c>
      <c r="M79" s="75" t="s">
        <v>106</v>
      </c>
      <c r="N79" s="75" t="s">
        <v>106</v>
      </c>
      <c r="O79" s="75" t="s">
        <v>106</v>
      </c>
      <c r="P79" s="10"/>
      <c r="Q79" s="10" t="s">
        <v>105</v>
      </c>
      <c r="R79" s="10" t="s">
        <v>105</v>
      </c>
      <c r="S79" s="10" t="s">
        <v>105</v>
      </c>
      <c r="T79" s="10" t="s">
        <v>105</v>
      </c>
      <c r="U79" s="10" t="s">
        <v>105</v>
      </c>
      <c r="V79" s="75" t="s">
        <v>1404</v>
      </c>
      <c r="W79" s="141" t="s">
        <v>1404</v>
      </c>
      <c r="X79" s="141" t="s">
        <v>1404</v>
      </c>
      <c r="Y79" s="141" t="s">
        <v>1404</v>
      </c>
      <c r="Z79" s="3"/>
    </row>
    <row r="80">
      <c r="A80" s="27"/>
      <c r="B80" s="29"/>
      <c r="C80" s="91" t="s">
        <v>1405</v>
      </c>
      <c r="D80" s="67" t="s">
        <v>1406</v>
      </c>
      <c r="E80" s="91" t="s">
        <v>1407</v>
      </c>
      <c r="F80" s="91" t="s">
        <v>1408</v>
      </c>
      <c r="G80" s="91" t="s">
        <v>1409</v>
      </c>
      <c r="H80" s="87" t="s">
        <v>1410</v>
      </c>
      <c r="I80" s="69" t="s">
        <v>1411</v>
      </c>
      <c r="J80" s="85" t="s">
        <v>1412</v>
      </c>
      <c r="K80" s="91" t="s">
        <v>1413</v>
      </c>
      <c r="L80" s="91" t="s">
        <v>1414</v>
      </c>
      <c r="M80" s="91" t="s">
        <v>1415</v>
      </c>
      <c r="N80" s="91" t="s">
        <v>1416</v>
      </c>
      <c r="O80" s="91" t="s">
        <v>1417</v>
      </c>
      <c r="P80" s="91" t="s">
        <v>1418</v>
      </c>
      <c r="Q80" s="91" t="s">
        <v>1419</v>
      </c>
      <c r="R80" s="91" t="s">
        <v>1420</v>
      </c>
      <c r="S80" s="91" t="s">
        <v>1421</v>
      </c>
      <c r="T80" s="91" t="s">
        <v>1422</v>
      </c>
      <c r="U80" s="91" t="s">
        <v>1423</v>
      </c>
      <c r="V80" s="91" t="s">
        <v>1424</v>
      </c>
      <c r="W80" s="91" t="s">
        <v>1425</v>
      </c>
      <c r="X80" s="91" t="s">
        <v>1426</v>
      </c>
      <c r="Y80" s="91" t="s">
        <v>1427</v>
      </c>
      <c r="Z80" s="3"/>
    </row>
    <row r="81">
      <c r="A81" s="27"/>
      <c r="B81" s="79"/>
      <c r="C81" s="98" t="str">
        <f>HYPERLINK("https://drive.google.com/folderview?id=0B4mky1MMW8dYfjNNcDFvaEpWRGd2VU9sa2U0TzZGOXViOXEtVkkyUGNud3V1bkhUNzc5UWM&amp;usp=sharing","ดาวน์โหลดเอกสารประกอบ")</f>
        <v>ดาวน์โหลดเอกสารประกอบ</v>
      </c>
      <c r="D81" s="98" t="str">
        <f>HYPERLINK("https://drive.google.com/folderview?id=0B4mky1MMW8dYfjF0bXNBYXRJUXowekpNTzA3UUFfMmZ1UGV1d1VwRm1vcWs0dUlycEh3Qnc&amp;usp=sharing","ดาวน์โหลดเอกสารประกอบ")</f>
        <v>ดาวน์โหลดเอกสารประกอบ</v>
      </c>
      <c r="E81" s="98" t="str">
        <f>HYPERLINK("https://drive.google.com/folderview?id=0B4mky1MMW8dYfmp2SDRQT0hZbVhGb2xNQ0VBaFc1MlRxd05Ib3FCOGVjLUUwakxkcGlHUlU&amp;usp=sharing","ดาวน์โหลดเอกสารประกอบ")</f>
        <v>ดาวน์โหลดเอกสารประกอบ</v>
      </c>
      <c r="F81" s="98" t="str">
        <f>HYPERLINK("https://drive.google.com/folderview?id=0B4mky1MMW8dYflJCNjlmcWZyQnZYcUVFVWFlMWpMalZxM3RIR2NBc3JXR1NKemZKQjdMdUU&amp;usp=sharing","ดาวน์โหลดเอกสารประกอบ")</f>
        <v>ดาวน์โหลดเอกสารประกอบ</v>
      </c>
      <c r="G81" s="152" t="s">
        <v>31</v>
      </c>
      <c r="H81" s="213" t="s">
        <v>31</v>
      </c>
      <c r="I81" s="83" t="str">
        <f>HYPERLINK("https://drive.google.com/folderview?id=0B0x_dulH5-nEQVpxQzNVbTg2UDg&amp;usp=sharing","ดาวน์โหลดเอกสารประกอบ")</f>
        <v>ดาวน์โหลดเอกสารประกอบ</v>
      </c>
      <c r="J81" s="110" t="str">
        <f>HYPERLINK("https://drive.google.com/folderview?id=0B0x_dulH5-nEc2xZVnJzYnFYVlk&amp;usp=sharing","ดาวน์โหลดเอกสารประกอบ")</f>
        <v>ดาวน์โหลดเอกสารประกอบ</v>
      </c>
      <c r="K81" s="98" t="str">
        <f>HYPERLINK("https://drive.google.com/folderview?id=0B4mky1MMW8dYfkw4UFpsNUl1X2RZWHpZTHB6aG9hUWtlUlhHOUl5dml5ZWdud25sVnEyZ1k&amp;usp=sharing","ดาวน์โหลดเอกสารประกอบ")</f>
        <v>ดาวน์โหลดเอกสารประกอบ</v>
      </c>
      <c r="L81" s="152" t="s">
        <v>31</v>
      </c>
      <c r="M81" s="152" t="s">
        <v>31</v>
      </c>
      <c r="N81" s="152" t="s">
        <v>31</v>
      </c>
      <c r="O81" s="152" t="s">
        <v>31</v>
      </c>
      <c r="P81" s="152" t="s">
        <v>31</v>
      </c>
      <c r="Q81" s="98" t="str">
        <f>HYPERLINK("https://drive.google.com/folderview?id=0B4mky1MMW8dYfmppQXk3ckxpXy1rV3ZzNE1PcFJ1M0xqVTFQUEFCS3gtSm1NaWFRZHRNSk0&amp;usp=sharing","ดาวน์โหลดเอกสารประกอบ")</f>
        <v>ดาวน์โหลดเอกสารประกอบ</v>
      </c>
      <c r="R81" s="98" t="str">
        <f>HYPERLINK("https://drive.google.com/folderview?id=0B0x_dulH5-nEbnRkOUlMNm9hc00&amp;usp=sharing","ดาวน์โหลดเอกสารประกอบ")</f>
        <v>ดาวน์โหลดเอกสารประกอบ</v>
      </c>
      <c r="S81" s="98" t="str">
        <f>HYPERLINK("https://drive.google.com/folderview?id=0B0x_dulH5-nEY1pBczUyYk9nZVE&amp;usp=sharing","ดาวน์โหลดเอกสารประกอบ")</f>
        <v>ดาวน์โหลดเอกสารประกอบ</v>
      </c>
      <c r="T81" s="98" t="str">
        <f>HYPERLINK("https://drive.google.com/folderview?id=0B0x_dulH5-nEUU1WMF83WGVZT1U&amp;usp=sharing","ดาวน์โหลดเอกสารประกอบ")</f>
        <v>ดาวน์โหลดเอกสารประกอบ</v>
      </c>
      <c r="U81" s="98" t="str">
        <f>HYPERLINK("https://drive.google.com/folderview?id=0B0x_dulH5-nEdGhKWjNtLXNEYWc&amp;usp=sharing","ดาวน์โหลดเอกสารประกอบ")</f>
        <v>ดาวน์โหลดเอกสารประกอบ</v>
      </c>
      <c r="V81" s="152" t="s">
        <v>31</v>
      </c>
      <c r="W81" s="152" t="s">
        <v>31</v>
      </c>
      <c r="X81" s="152" t="s">
        <v>31</v>
      </c>
      <c r="Y81" s="152" t="s">
        <v>31</v>
      </c>
      <c r="Z81" s="3"/>
    </row>
    <row r="82">
      <c r="A82" s="27"/>
      <c r="B82" s="5" t="s">
        <v>3</v>
      </c>
      <c r="C82" s="5" t="s">
        <v>4</v>
      </c>
      <c r="D82" s="12" t="s">
        <v>5</v>
      </c>
      <c r="E82" s="5" t="s">
        <v>6</v>
      </c>
      <c r="F82" s="5" t="s">
        <v>8</v>
      </c>
      <c r="G82" s="5" t="s">
        <v>9</v>
      </c>
      <c r="H82" s="14" t="s">
        <v>10</v>
      </c>
      <c r="I82" s="5" t="s">
        <v>11</v>
      </c>
      <c r="J82" s="12" t="s">
        <v>12</v>
      </c>
      <c r="K82" s="5" t="s">
        <v>13</v>
      </c>
      <c r="L82" s="5" t="s">
        <v>14</v>
      </c>
      <c r="M82" s="5" t="s">
        <v>15</v>
      </c>
      <c r="N82" s="5" t="s">
        <v>16</v>
      </c>
      <c r="O82" s="5" t="s">
        <v>17</v>
      </c>
      <c r="P82" s="5" t="s">
        <v>18</v>
      </c>
      <c r="Q82" s="5" t="s">
        <v>19</v>
      </c>
      <c r="R82" s="5" t="s">
        <v>20</v>
      </c>
      <c r="S82" s="5" t="s">
        <v>21</v>
      </c>
      <c r="T82" s="5" t="s">
        <v>22</v>
      </c>
      <c r="U82" s="5" t="s">
        <v>23</v>
      </c>
      <c r="V82" s="5" t="s">
        <v>24</v>
      </c>
      <c r="W82" s="3"/>
      <c r="X82" s="3"/>
      <c r="Y82" s="3"/>
      <c r="Z82" s="3"/>
    </row>
    <row r="83">
      <c r="A83" s="27"/>
      <c r="B83" s="13" t="s">
        <v>1530</v>
      </c>
      <c r="C83" s="19" t="s">
        <v>39</v>
      </c>
      <c r="D83" s="19" t="s">
        <v>1533</v>
      </c>
      <c r="E83" s="19" t="s">
        <v>1533</v>
      </c>
      <c r="F83" s="19" t="s">
        <v>1533</v>
      </c>
      <c r="G83" s="19" t="s">
        <v>42</v>
      </c>
      <c r="H83" s="139" t="s">
        <v>42</v>
      </c>
      <c r="I83" s="19" t="s">
        <v>42</v>
      </c>
      <c r="J83" s="140" t="s">
        <v>1220</v>
      </c>
      <c r="K83" s="19" t="s">
        <v>1220</v>
      </c>
      <c r="L83" s="19" t="s">
        <v>1534</v>
      </c>
      <c r="M83" s="19" t="s">
        <v>1534</v>
      </c>
      <c r="N83" s="19" t="s">
        <v>1534</v>
      </c>
      <c r="O83" s="19" t="s">
        <v>1535</v>
      </c>
      <c r="P83" s="19" t="s">
        <v>1535</v>
      </c>
      <c r="Q83" s="10"/>
      <c r="R83" s="10"/>
      <c r="S83" s="10"/>
      <c r="T83" s="10"/>
      <c r="U83" s="10"/>
      <c r="V83" s="10"/>
      <c r="W83" s="3"/>
      <c r="X83" s="3"/>
      <c r="Y83" s="3"/>
      <c r="Z83" s="3"/>
    </row>
    <row r="84" ht="60.0" customHeight="1">
      <c r="A84" s="27"/>
      <c r="B84" s="29"/>
      <c r="C84" s="261" t="str">
        <f>HYPERLINK("https://www.youtube.com/watch?v=EEvbFLSzbRo","สมบัติรากที่ n และการทำให้กรณฑ์อยู่ในรูปอย่างง่าย")</f>
        <v>สมบัติรากที่ n และการทำให้กรณฑ์อยู่ในรูปอย่างง่าย</v>
      </c>
      <c r="D84" s="46" t="s">
        <v>1536</v>
      </c>
      <c r="E84" s="46" t="s">
        <v>1537</v>
      </c>
      <c r="F84" s="46" t="s">
        <v>1538</v>
      </c>
      <c r="G84" s="46" t="s">
        <v>1539</v>
      </c>
      <c r="H84" s="44" t="s">
        <v>1540</v>
      </c>
      <c r="I84" s="46" t="s">
        <v>1541</v>
      </c>
      <c r="J84" s="42" t="s">
        <v>1542</v>
      </c>
      <c r="K84" s="46" t="s">
        <v>1543</v>
      </c>
      <c r="L84" s="55" t="s">
        <v>1544</v>
      </c>
      <c r="M84" s="55" t="s">
        <v>1545</v>
      </c>
      <c r="N84" s="55" t="s">
        <v>1546</v>
      </c>
      <c r="O84" s="55" t="s">
        <v>1547</v>
      </c>
      <c r="P84" s="55" t="s">
        <v>1548</v>
      </c>
      <c r="Q84" s="10" t="s">
        <v>31</v>
      </c>
      <c r="R84" s="10" t="s">
        <v>31</v>
      </c>
      <c r="S84" s="10" t="s">
        <v>31</v>
      </c>
      <c r="T84" s="10" t="s">
        <v>31</v>
      </c>
      <c r="U84" s="10" t="s">
        <v>31</v>
      </c>
      <c r="V84" s="10" t="s">
        <v>31</v>
      </c>
      <c r="W84" s="3"/>
      <c r="X84" s="3"/>
      <c r="Y84" s="3"/>
      <c r="Z84" s="3"/>
    </row>
    <row r="85">
      <c r="A85" s="27"/>
      <c r="B85" s="29"/>
      <c r="C85" s="10" t="s">
        <v>1549</v>
      </c>
      <c r="D85" s="10" t="s">
        <v>1549</v>
      </c>
      <c r="E85" s="10" t="s">
        <v>1549</v>
      </c>
      <c r="F85" s="10" t="s">
        <v>1549</v>
      </c>
      <c r="G85" s="10" t="s">
        <v>1550</v>
      </c>
      <c r="H85" s="4" t="s">
        <v>1550</v>
      </c>
      <c r="I85" s="10" t="s">
        <v>1550</v>
      </c>
      <c r="J85" s="60" t="s">
        <v>1550</v>
      </c>
      <c r="K85" s="10" t="s">
        <v>1550</v>
      </c>
      <c r="L85" s="75" t="s">
        <v>1551</v>
      </c>
      <c r="M85" s="75" t="s">
        <v>1551</v>
      </c>
      <c r="N85" s="10" t="s">
        <v>1391</v>
      </c>
      <c r="O85" s="10" t="s">
        <v>1391</v>
      </c>
      <c r="P85" s="10" t="s">
        <v>1391</v>
      </c>
      <c r="Q85" s="10"/>
      <c r="R85" s="10"/>
      <c r="S85" s="10"/>
      <c r="T85" s="10"/>
      <c r="U85" s="10"/>
      <c r="V85" s="10"/>
      <c r="W85" s="3"/>
      <c r="X85" s="3"/>
      <c r="Y85" s="3"/>
      <c r="Z85" s="3"/>
    </row>
    <row r="86">
      <c r="A86" s="27"/>
      <c r="B86" s="29"/>
      <c r="C86" s="10" t="s">
        <v>1552</v>
      </c>
      <c r="D86" s="10" t="s">
        <v>1552</v>
      </c>
      <c r="E86" s="10" t="s">
        <v>1552</v>
      </c>
      <c r="F86" s="10" t="s">
        <v>1552</v>
      </c>
      <c r="G86" s="10" t="s">
        <v>1553</v>
      </c>
      <c r="H86" s="4" t="s">
        <v>1553</v>
      </c>
      <c r="I86" s="10" t="s">
        <v>1553</v>
      </c>
      <c r="J86" s="60" t="s">
        <v>1553</v>
      </c>
      <c r="K86" s="10" t="s">
        <v>1553</v>
      </c>
      <c r="L86" s="75" t="s">
        <v>1554</v>
      </c>
      <c r="M86" s="75" t="s">
        <v>1554</v>
      </c>
      <c r="N86" s="10" t="s">
        <v>1397</v>
      </c>
      <c r="O86" s="10" t="s">
        <v>1397</v>
      </c>
      <c r="P86" s="10" t="s">
        <v>1397</v>
      </c>
      <c r="Q86" s="10"/>
      <c r="R86" s="10"/>
      <c r="S86" s="10"/>
      <c r="T86" s="10"/>
      <c r="U86" s="10"/>
      <c r="V86" s="10"/>
      <c r="W86" s="3"/>
      <c r="X86" s="3"/>
      <c r="Y86" s="3"/>
      <c r="Z86" s="3"/>
    </row>
    <row r="87">
      <c r="A87" s="27"/>
      <c r="B87" s="29"/>
      <c r="C87" s="10" t="s">
        <v>105</v>
      </c>
      <c r="D87" s="10" t="s">
        <v>105</v>
      </c>
      <c r="E87" s="10" t="s">
        <v>105</v>
      </c>
      <c r="F87" s="10" t="s">
        <v>105</v>
      </c>
      <c r="G87" s="10" t="s">
        <v>105</v>
      </c>
      <c r="H87" s="4" t="s">
        <v>105</v>
      </c>
      <c r="I87" s="10" t="s">
        <v>105</v>
      </c>
      <c r="J87" s="60" t="s">
        <v>105</v>
      </c>
      <c r="K87" s="10" t="s">
        <v>105</v>
      </c>
      <c r="L87" s="75" t="s">
        <v>1555</v>
      </c>
      <c r="M87" s="75" t="s">
        <v>1555</v>
      </c>
      <c r="N87" s="10" t="s">
        <v>105</v>
      </c>
      <c r="O87" s="10" t="s">
        <v>105</v>
      </c>
      <c r="P87" s="10" t="s">
        <v>105</v>
      </c>
      <c r="Q87" s="10"/>
      <c r="R87" s="10"/>
      <c r="S87" s="10"/>
      <c r="T87" s="10"/>
      <c r="U87" s="10"/>
      <c r="V87" s="10"/>
      <c r="W87" s="3"/>
      <c r="X87" s="3"/>
      <c r="Y87" s="3"/>
      <c r="Z87" s="3"/>
    </row>
    <row r="88">
      <c r="A88" s="27"/>
      <c r="B88" s="29"/>
      <c r="C88" s="91" t="s">
        <v>1556</v>
      </c>
      <c r="D88" s="91" t="s">
        <v>1557</v>
      </c>
      <c r="E88" s="91" t="s">
        <v>1558</v>
      </c>
      <c r="F88" s="91" t="s">
        <v>1559</v>
      </c>
      <c r="G88" s="91" t="s">
        <v>1560</v>
      </c>
      <c r="H88" s="87" t="s">
        <v>1561</v>
      </c>
      <c r="I88" s="69" t="s">
        <v>1562</v>
      </c>
      <c r="J88" s="85" t="s">
        <v>1563</v>
      </c>
      <c r="K88" s="91" t="s">
        <v>1564</v>
      </c>
      <c r="L88" s="91" t="s">
        <v>1565</v>
      </c>
      <c r="M88" s="91" t="s">
        <v>1566</v>
      </c>
      <c r="N88" s="91" t="s">
        <v>1567</v>
      </c>
      <c r="O88" s="91" t="s">
        <v>1568</v>
      </c>
      <c r="P88" s="91" t="s">
        <v>1569</v>
      </c>
      <c r="Q88" s="211"/>
      <c r="R88" s="211"/>
      <c r="S88" s="211"/>
      <c r="T88" s="211"/>
      <c r="U88" s="211"/>
      <c r="V88" s="211"/>
      <c r="W88" s="3"/>
      <c r="X88" s="3"/>
      <c r="Y88" s="3"/>
      <c r="Z88" s="3"/>
    </row>
    <row r="89">
      <c r="A89" s="27"/>
      <c r="B89" s="79"/>
      <c r="C89" s="152" t="s">
        <v>31</v>
      </c>
      <c r="D89" s="152" t="s">
        <v>31</v>
      </c>
      <c r="E89" s="152" t="s">
        <v>31</v>
      </c>
      <c r="F89" s="152" t="s">
        <v>31</v>
      </c>
      <c r="G89" s="152" t="s">
        <v>31</v>
      </c>
      <c r="H89" s="213" t="s">
        <v>31</v>
      </c>
      <c r="I89" s="94" t="s">
        <v>31</v>
      </c>
      <c r="J89" s="164" t="s">
        <v>31</v>
      </c>
      <c r="K89" s="152" t="s">
        <v>31</v>
      </c>
      <c r="L89" s="98" t="str">
        <f>HYPERLINK("https://drive.google.com/folderview?id=0BydHLJgPtYsXfk8wd1BpZzd2SWRTVzRPa3kxcF9fMDEtb0JwM2dMZVc2bFdKeVJ2LTVvdXM&amp;usp=sharing","ดาวน์โหลดเอกสารประกอบ")</f>
        <v>ดาวน์โหลดเอกสารประกอบ</v>
      </c>
      <c r="M89" s="98" t="str">
        <f>HYPERLINK("https://drive.google.com/folderview?id=0BydHLJgPtYsXflJETDh3eFZUdF9RSUdBS0Z4MzRJRWxScWpRTlNJakN2SWFDTV9KY2Y5RFU&amp;usp=sharing","ดาวน์โหลดเอกสารประกอบ")</f>
        <v>ดาวน์โหลดเอกสารประกอบ</v>
      </c>
      <c r="N89" s="98" t="str">
        <f>HYPERLINK("https://drive.google.com/folderview?id=0B4mky1MMW8dYTGJ2a3FJdnJxQTQ&amp;usp=sharing","ดาวน์โหลดเอกสารประกอบ")</f>
        <v>ดาวน์โหลดเอกสารประกอบ</v>
      </c>
      <c r="O89" s="98" t="str">
        <f>HYPERLINK("https://drive.google.com/folderview?id=0B4mky1MMW8dYRmFqc0F1YWNFQnM&amp;usp=sharing","ดาวน์โหลดเอกสารประกอบ")</f>
        <v>ดาวน์โหลดเอกสารประกอบ</v>
      </c>
      <c r="P89" s="98" t="str">
        <f>HYPERLINK("https://drive.google.com/folderview?id=0B4mky1MMW8dYa0Y3N1paaVBMTW8&amp;usp=sharing","ดาวน์โหลดเอกสารประกอบ")</f>
        <v>ดาวน์โหลดเอกสารประกอบ</v>
      </c>
      <c r="Q89" s="152" t="s">
        <v>195</v>
      </c>
      <c r="R89" s="152" t="s">
        <v>195</v>
      </c>
      <c r="S89" s="152" t="s">
        <v>195</v>
      </c>
      <c r="T89" s="152" t="s">
        <v>195</v>
      </c>
      <c r="U89" s="152" t="s">
        <v>195</v>
      </c>
      <c r="V89" s="152" t="s">
        <v>195</v>
      </c>
      <c r="W89" s="3"/>
      <c r="X89" s="3"/>
      <c r="Y89" s="3"/>
      <c r="Z89" s="3"/>
    </row>
    <row r="90">
      <c r="A90" s="27"/>
      <c r="B90" s="5" t="s">
        <v>3</v>
      </c>
      <c r="C90" s="5" t="s">
        <v>4</v>
      </c>
      <c r="D90" s="12" t="s">
        <v>5</v>
      </c>
      <c r="E90" s="5" t="s">
        <v>6</v>
      </c>
      <c r="F90" s="5" t="s">
        <v>8</v>
      </c>
      <c r="G90" s="5" t="s">
        <v>9</v>
      </c>
      <c r="H90" s="14" t="s">
        <v>10</v>
      </c>
      <c r="I90" s="5" t="s">
        <v>11</v>
      </c>
      <c r="J90" s="12" t="s">
        <v>12</v>
      </c>
      <c r="K90" s="5" t="s">
        <v>13</v>
      </c>
      <c r="L90" s="5" t="s">
        <v>14</v>
      </c>
      <c r="M90" s="5" t="s">
        <v>15</v>
      </c>
      <c r="N90" s="5" t="s">
        <v>16</v>
      </c>
      <c r="O90" s="5" t="s">
        <v>17</v>
      </c>
      <c r="P90" s="5" t="s">
        <v>18</v>
      </c>
      <c r="Q90" s="5" t="s">
        <v>19</v>
      </c>
      <c r="R90" s="5" t="s">
        <v>20</v>
      </c>
      <c r="S90" s="5" t="s">
        <v>21</v>
      </c>
      <c r="T90" s="5" t="s">
        <v>22</v>
      </c>
      <c r="U90" s="5" t="s">
        <v>23</v>
      </c>
      <c r="V90" s="5" t="s">
        <v>24</v>
      </c>
      <c r="W90" s="5" t="s">
        <v>25</v>
      </c>
      <c r="X90" s="5" t="s">
        <v>26</v>
      </c>
      <c r="Y90" s="5" t="s">
        <v>27</v>
      </c>
      <c r="Z90" s="3"/>
    </row>
    <row r="91" ht="15.0" customHeight="1">
      <c r="A91" s="27"/>
      <c r="B91" s="13" t="s">
        <v>1571</v>
      </c>
      <c r="C91" s="19" t="s">
        <v>561</v>
      </c>
      <c r="D91" s="19" t="s">
        <v>1572</v>
      </c>
      <c r="E91" s="19" t="s">
        <v>1572</v>
      </c>
      <c r="F91" s="19" t="s">
        <v>1572</v>
      </c>
      <c r="G91" s="19" t="s">
        <v>1572</v>
      </c>
      <c r="H91" s="139" t="s">
        <v>1572</v>
      </c>
      <c r="I91" s="19" t="s">
        <v>1572</v>
      </c>
      <c r="J91" s="140" t="s">
        <v>1572</v>
      </c>
      <c r="K91" s="19" t="s">
        <v>1572</v>
      </c>
      <c r="L91" s="19" t="s">
        <v>1572</v>
      </c>
      <c r="M91" s="19" t="s">
        <v>1572</v>
      </c>
      <c r="N91" s="19" t="s">
        <v>430</v>
      </c>
      <c r="O91" s="19" t="s">
        <v>430</v>
      </c>
      <c r="P91" s="19" t="s">
        <v>430</v>
      </c>
      <c r="Q91" s="19" t="s">
        <v>430</v>
      </c>
      <c r="R91" s="19" t="s">
        <v>430</v>
      </c>
      <c r="S91" s="19" t="s">
        <v>430</v>
      </c>
      <c r="T91" s="19" t="s">
        <v>430</v>
      </c>
      <c r="U91" s="19" t="s">
        <v>430</v>
      </c>
      <c r="V91" s="19" t="s">
        <v>1221</v>
      </c>
      <c r="W91" s="21" t="s">
        <v>1221</v>
      </c>
      <c r="X91" s="21" t="s">
        <v>1221</v>
      </c>
      <c r="Y91" s="21" t="s">
        <v>1221</v>
      </c>
      <c r="Z91" s="3"/>
    </row>
    <row r="92" ht="45.0" customHeight="1">
      <c r="A92" s="27"/>
      <c r="B92" s="29"/>
      <c r="C92" s="34" t="str">
        <f>HYPERLINK("https://www.youtube.com/watch?v=fSwxh6znCpg","การแจกแจงความถี่ของข้อมูลและการสร้างตารางแจกแจงความถี่ ตอน 1")</f>
        <v>การแจกแจงความถี่ของข้อมูลและการสร้างตารางแจกแจงความถี่ ตอน 1</v>
      </c>
      <c r="D92" s="34" t="str">
        <f>HYPERLINK("https://www.youtube.com/watch?v=9Dpuj9PVKkk","การแจกแจงความถี่ของข้อมูลและการสร้างตารางแจกแจงความถี่ ตอน 2")</f>
        <v>การแจกแจงความถี่ของข้อมูลและการสร้างตารางแจกแจงความถี่ ตอน 2</v>
      </c>
      <c r="E92" s="39" t="str">
        <f>HYPERLINK("https://www.youtube.com/watch?v=hZfsHBmAdfE","การสร้างและการอ่านฮิสโทแกรม")</f>
        <v>การสร้างและการอ่านฮิสโทแกรม</v>
      </c>
      <c r="F92" s="34" t="str">
        <f>HYPERLINK("https://www.youtube.com/watch?v=Z5JAOTPCn7A"," การสร้างและอ่านแผนภาพต้น-ใบ")</f>
        <v> การสร้างและอ่านแผนภาพต้น-ใบ</v>
      </c>
      <c r="G92" s="34" t="str">
        <f>HYPERLINK("https://www.youtube.com/watch?v=b-iXkdYObG8","การหาเปอร์เซ็นไทล์ของข้อมูลที่ไม่ได้แจกแจงความถี่")</f>
        <v>การหาเปอร์เซ็นไทล์ของข้อมูลที่ไม่ได้แจกแจงความถี่</v>
      </c>
      <c r="H92" s="200" t="s">
        <v>1610</v>
      </c>
      <c r="I92" s="55" t="s">
        <v>1611</v>
      </c>
      <c r="J92" s="42" t="s">
        <v>1612</v>
      </c>
      <c r="K92" s="55" t="s">
        <v>1613</v>
      </c>
      <c r="L92" s="55" t="s">
        <v>1614</v>
      </c>
      <c r="M92" s="55" t="s">
        <v>1615</v>
      </c>
      <c r="N92" s="55" t="s">
        <v>1616</v>
      </c>
      <c r="O92" s="46" t="s">
        <v>1617</v>
      </c>
      <c r="P92" s="34" t="str">
        <f>HYPERLINK("https://www.youtube.com/watch?v=3RRIIjU9krI","การหาจำนวนพจน์ของลำดับเลขคณิต")</f>
        <v>การหาจำนวนพจน์ของลำดับเลขคณิต</v>
      </c>
      <c r="Q92" s="39" t="str">
        <f>HYPERLINK("https://www.youtube.com/watch?v=8j-OBlAaD9w","การสร้างลำดับทั่วไปจากเงื่อนไขที่กำหนด")</f>
        <v>การสร้างลำดับทั่วไปจากเงื่อนไขที่กำหนด</v>
      </c>
      <c r="R92" s="39" t="str">
        <f>HYPERLINK("https://www.youtube.com/watch?v=IYb_RhJkMgo","การแก้โจทย์ปัญหาลำดับเลขคณิต")</f>
        <v>การแก้โจทย์ปัญหาลำดับเลขคณิต</v>
      </c>
      <c r="S92" s="55" t="s">
        <v>1628</v>
      </c>
      <c r="T92" s="55" t="s">
        <v>1631</v>
      </c>
      <c r="U92" s="46" t="s">
        <v>1633</v>
      </c>
      <c r="V92" s="46" t="s">
        <v>1634</v>
      </c>
      <c r="W92" s="46" t="s">
        <v>1635</v>
      </c>
      <c r="X92" s="46" t="s">
        <v>1636</v>
      </c>
      <c r="Y92" s="46" t="s">
        <v>1637</v>
      </c>
      <c r="Z92" s="194"/>
    </row>
    <row r="93">
      <c r="A93" s="27"/>
      <c r="B93" s="29"/>
      <c r="C93" s="10" t="s">
        <v>1639</v>
      </c>
      <c r="D93" s="10" t="s">
        <v>1639</v>
      </c>
      <c r="E93" s="10" t="s">
        <v>1639</v>
      </c>
      <c r="F93" s="10" t="s">
        <v>1639</v>
      </c>
      <c r="G93" s="10" t="s">
        <v>1639</v>
      </c>
      <c r="H93" s="10" t="s">
        <v>1391</v>
      </c>
      <c r="I93" s="10" t="s">
        <v>1391</v>
      </c>
      <c r="J93" s="10" t="s">
        <v>1391</v>
      </c>
      <c r="K93" s="75" t="s">
        <v>1642</v>
      </c>
      <c r="L93" s="75" t="s">
        <v>1642</v>
      </c>
      <c r="M93" s="75" t="s">
        <v>1642</v>
      </c>
      <c r="N93" s="75" t="s">
        <v>1644</v>
      </c>
      <c r="O93" s="75" t="s">
        <v>1644</v>
      </c>
      <c r="P93" s="10" t="s">
        <v>1646</v>
      </c>
      <c r="Q93" s="10" t="s">
        <v>1646</v>
      </c>
      <c r="R93" s="10" t="s">
        <v>1646</v>
      </c>
      <c r="S93" s="75" t="s">
        <v>1647</v>
      </c>
      <c r="T93" s="75" t="s">
        <v>1647</v>
      </c>
      <c r="U93" s="75" t="s">
        <v>1647</v>
      </c>
      <c r="V93" s="75" t="s">
        <v>1648</v>
      </c>
      <c r="W93" s="75" t="s">
        <v>1648</v>
      </c>
      <c r="X93" s="75" t="s">
        <v>1647</v>
      </c>
      <c r="Y93" s="75" t="s">
        <v>1644</v>
      </c>
      <c r="Z93" s="3"/>
    </row>
    <row r="94">
      <c r="A94" s="27"/>
      <c r="B94" s="29"/>
      <c r="C94" s="10" t="s">
        <v>1553</v>
      </c>
      <c r="D94" s="10" t="s">
        <v>1553</v>
      </c>
      <c r="E94" s="10" t="s">
        <v>1553</v>
      </c>
      <c r="F94" s="10" t="s">
        <v>1553</v>
      </c>
      <c r="G94" s="10" t="s">
        <v>1553</v>
      </c>
      <c r="H94" s="10" t="s">
        <v>1397</v>
      </c>
      <c r="I94" s="10" t="s">
        <v>1397</v>
      </c>
      <c r="J94" s="10" t="s">
        <v>1397</v>
      </c>
      <c r="K94" s="75" t="s">
        <v>1653</v>
      </c>
      <c r="L94" s="75" t="s">
        <v>1653</v>
      </c>
      <c r="M94" s="75" t="s">
        <v>1653</v>
      </c>
      <c r="N94" s="75" t="s">
        <v>1655</v>
      </c>
      <c r="O94" s="75" t="s">
        <v>1655</v>
      </c>
      <c r="P94" s="10" t="s">
        <v>998</v>
      </c>
      <c r="Q94" s="10" t="s">
        <v>998</v>
      </c>
      <c r="R94" s="10" t="s">
        <v>998</v>
      </c>
      <c r="S94" s="75" t="s">
        <v>1657</v>
      </c>
      <c r="T94" s="75" t="s">
        <v>1657</v>
      </c>
      <c r="U94" s="75" t="s">
        <v>1657</v>
      </c>
      <c r="V94" s="75" t="s">
        <v>1481</v>
      </c>
      <c r="W94" s="75" t="s">
        <v>1481</v>
      </c>
      <c r="X94" s="75" t="s">
        <v>1657</v>
      </c>
      <c r="Y94" s="75" t="s">
        <v>1659</v>
      </c>
      <c r="Z94" s="3"/>
    </row>
    <row r="95">
      <c r="A95" s="27"/>
      <c r="B95" s="29"/>
      <c r="C95" s="10" t="s">
        <v>105</v>
      </c>
      <c r="D95" s="10" t="s">
        <v>105</v>
      </c>
      <c r="E95" s="10" t="s">
        <v>105</v>
      </c>
      <c r="F95" s="10" t="s">
        <v>105</v>
      </c>
      <c r="G95" s="10" t="s">
        <v>105</v>
      </c>
      <c r="H95" s="10" t="s">
        <v>105</v>
      </c>
      <c r="I95" s="10" t="s">
        <v>105</v>
      </c>
      <c r="J95" s="10" t="s">
        <v>105</v>
      </c>
      <c r="K95" s="75" t="s">
        <v>128</v>
      </c>
      <c r="L95" s="75" t="s">
        <v>128</v>
      </c>
      <c r="M95" s="75" t="s">
        <v>128</v>
      </c>
      <c r="N95" s="75" t="s">
        <v>1012</v>
      </c>
      <c r="O95" s="75" t="s">
        <v>1012</v>
      </c>
      <c r="P95" s="10" t="s">
        <v>1014</v>
      </c>
      <c r="Q95" s="10" t="s">
        <v>1014</v>
      </c>
      <c r="R95" s="10" t="s">
        <v>1014</v>
      </c>
      <c r="S95" s="75" t="s">
        <v>1012</v>
      </c>
      <c r="T95" s="75" t="s">
        <v>1012</v>
      </c>
      <c r="U95" s="75" t="s">
        <v>1012</v>
      </c>
      <c r="V95" s="75" t="s">
        <v>1176</v>
      </c>
      <c r="W95" s="75" t="s">
        <v>1176</v>
      </c>
      <c r="X95" s="75" t="s">
        <v>1012</v>
      </c>
      <c r="Y95" s="75" t="s">
        <v>1012</v>
      </c>
      <c r="Z95" s="3"/>
    </row>
    <row r="96">
      <c r="A96" s="27"/>
      <c r="B96" s="29"/>
      <c r="C96" s="91" t="s">
        <v>1661</v>
      </c>
      <c r="D96" s="91" t="s">
        <v>1662</v>
      </c>
      <c r="E96" s="277" t="s">
        <v>1663</v>
      </c>
      <c r="F96" s="91" t="s">
        <v>1667</v>
      </c>
      <c r="G96" s="91" t="s">
        <v>1669</v>
      </c>
      <c r="H96" s="87" t="s">
        <v>1671</v>
      </c>
      <c r="I96" s="69" t="s">
        <v>1674</v>
      </c>
      <c r="J96" s="85" t="s">
        <v>1675</v>
      </c>
      <c r="K96" s="91" t="s">
        <v>1677</v>
      </c>
      <c r="L96" s="278" t="s">
        <v>1679</v>
      </c>
      <c r="M96" s="91" t="s">
        <v>1683</v>
      </c>
      <c r="N96" s="91" t="s">
        <v>1686</v>
      </c>
      <c r="O96" s="91" t="s">
        <v>1688</v>
      </c>
      <c r="P96" s="91" t="s">
        <v>1690</v>
      </c>
      <c r="Q96" s="91" t="s">
        <v>1692</v>
      </c>
      <c r="R96" s="91" t="s">
        <v>1693</v>
      </c>
      <c r="S96" s="280" t="s">
        <v>1694</v>
      </c>
      <c r="T96" s="91" t="s">
        <v>1695</v>
      </c>
      <c r="U96" s="91" t="s">
        <v>1696</v>
      </c>
      <c r="V96" s="91" t="s">
        <v>1697</v>
      </c>
      <c r="W96" s="91" t="s">
        <v>1698</v>
      </c>
      <c r="X96" s="91" t="s">
        <v>1699</v>
      </c>
      <c r="Y96" s="91" t="s">
        <v>1700</v>
      </c>
      <c r="Z96" s="3"/>
    </row>
    <row r="97">
      <c r="A97" s="281"/>
      <c r="B97" s="79"/>
      <c r="C97" s="152" t="s">
        <v>31</v>
      </c>
      <c r="D97" s="152" t="s">
        <v>31</v>
      </c>
      <c r="E97" s="152" t="s">
        <v>31</v>
      </c>
      <c r="F97" s="152" t="s">
        <v>31</v>
      </c>
      <c r="G97" s="152" t="s">
        <v>31</v>
      </c>
      <c r="H97" s="106" t="str">
        <f>HYPERLINK("https://drive.google.com/folderview?id=0B4mky1MMW8dYLWozeG9Lb2Nqc00&amp;usp=sharing","ดาวน์โหลดเอกสารประกอบ")</f>
        <v>ดาวน์โหลดเอกสารประกอบ</v>
      </c>
      <c r="I97" s="83" t="str">
        <f>HYPERLINK("https://drive.google.com/folderview?id=0B4mky1MMW8dYemt3a21ab3hsakU&amp;usp=sharing","ดาวน์โหลดเอกสารประกอบ")</f>
        <v>ดาวน์โหลดเอกสารประกอบ</v>
      </c>
      <c r="J97" s="110" t="str">
        <f>HYPERLINK("https://drive.google.com/folderview?id=0B4mky1MMW8dYVnh2NFppV0hIbFk&amp;usp=sharing","ดาวน์โหลดเอกสารประกอบ")</f>
        <v>ดาวน์โหลดเอกสารประกอบ</v>
      </c>
      <c r="K97" s="152" t="s">
        <v>31</v>
      </c>
      <c r="L97" s="152" t="s">
        <v>31</v>
      </c>
      <c r="M97" s="152" t="s">
        <v>31</v>
      </c>
      <c r="N97" s="152" t="s">
        <v>31</v>
      </c>
      <c r="O97" s="152" t="s">
        <v>31</v>
      </c>
      <c r="P97" s="98" t="str">
        <f>HYPERLINK("https://drive.google.com/folderview?id=0B4mky1MMW8dYfkhKQ041WVBIYUlreHFueFJHeVFBbG1KdXpGWXJfd2ZoUWVPZUlva2Y1LWs&amp;usp=sharing","ดาวน์โหลดเอกสารประกอบ")</f>
        <v>ดาวน์โหลดเอกสารประกอบ</v>
      </c>
      <c r="Q97" s="98" t="str">
        <f>HYPERLINK("https://drive.google.com/folderview?id=0B4mky1MMW8dYfmFoQXRfdzNQYVlTVndFdExsTFFWb3lQQ21EZDZzSUtWcDNha25STFh2bEU&amp;usp=sharing","ดาวน์โหลดเอกสารประกอบ")</f>
        <v>ดาวน์โหลดเอกสารประกอบ</v>
      </c>
      <c r="R97" s="98" t="str">
        <f>HYPERLINK("https://drive.google.com/folderview?id=0B4mky1MMW8dYfjM5MjU3emZGY0FSV0FFbVBWVmtHQkc0dklEX1hUbmwxbGlZY2F6ZjJSZk0&amp;usp=sharing","ดาวน์โหลดเอกสารประกอบ")</f>
        <v>ดาวน์โหลดเอกสารประกอบ</v>
      </c>
      <c r="S97" s="152" t="s">
        <v>31</v>
      </c>
      <c r="T97" s="152" t="s">
        <v>195</v>
      </c>
      <c r="U97" s="152" t="s">
        <v>195</v>
      </c>
      <c r="V97" s="152" t="s">
        <v>31</v>
      </c>
      <c r="W97" s="152" t="s">
        <v>31</v>
      </c>
      <c r="X97" s="152" t="s">
        <v>31</v>
      </c>
      <c r="Y97" s="152" t="s">
        <v>31</v>
      </c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10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10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10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10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10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10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10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10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10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10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10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10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10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10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10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10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10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10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10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10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10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10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10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10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10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10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10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10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10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10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10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10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10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10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10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10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10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10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10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10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10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10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10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10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10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10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10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10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10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10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10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10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10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10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10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10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10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10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10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10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10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10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10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10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10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10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10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10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10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10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10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10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10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10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10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10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10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10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10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10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10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10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10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10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10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10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10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10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10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10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10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10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10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10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10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10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10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10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10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10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10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10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10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10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10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10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10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10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10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10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10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10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10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10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10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10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10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10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10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10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10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10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10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10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10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10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10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10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10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10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10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10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10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10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10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10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10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10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10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10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10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10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10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10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10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10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10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10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10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10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10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10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10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10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10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10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10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10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10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10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10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10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10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10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10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10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10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10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10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10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10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10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10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10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10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10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10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10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10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10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10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10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10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10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10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10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10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10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10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10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10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10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10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10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10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10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10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10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10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10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10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10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10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10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10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10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10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10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10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10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10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10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10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10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10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10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10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10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10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10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10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10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10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10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10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10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10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10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10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10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10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10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10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10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10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10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10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10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10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10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10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10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10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10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10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10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10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10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10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10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10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10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10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10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10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10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10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10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10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10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10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10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10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10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10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10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10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10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10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10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10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10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10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10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10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10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10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10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10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10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10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10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10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10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10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10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10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10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10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10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10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10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10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10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10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10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10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10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10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10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10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10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10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10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10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10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10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10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10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10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10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10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10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10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10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10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10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10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10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10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10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10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10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10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10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10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10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10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10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10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10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10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10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10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10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10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10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10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10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10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10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10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10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10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10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10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10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10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10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10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10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10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10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10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10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10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10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10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10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10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10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10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10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10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10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10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10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10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10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10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10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10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10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10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10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10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10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10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10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10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10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10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10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10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10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10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10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10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10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10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10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10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10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10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10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10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10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10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10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10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10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10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10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10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10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10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10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10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10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10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10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10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10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10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10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10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10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10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10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10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10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10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10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10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10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10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10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10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10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10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10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10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10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10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10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10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10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10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10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10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10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10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10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10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10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10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10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10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10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10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10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10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10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10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10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10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10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10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10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10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10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10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10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10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10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10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10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10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10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10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10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10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10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10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10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10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10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10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10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10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10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10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10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10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10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10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10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10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10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10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10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10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10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10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10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10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10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10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10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10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10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10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10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10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10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10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10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10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10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10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10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10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10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10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10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10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10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10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10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10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10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10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10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10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10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10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10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10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10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10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10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10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10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10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10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10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10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10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10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10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10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10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10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10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10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10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10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10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10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10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10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10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10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10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10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10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10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10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10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10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10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10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10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10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10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10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10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10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10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10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10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10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10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10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10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10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10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10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10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10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10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10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10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10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10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10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10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10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10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10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10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10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10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10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10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10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10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10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10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10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10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10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10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10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10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10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10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10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10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10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10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10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10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10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10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10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10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10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10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10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10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10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10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10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10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10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10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10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10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10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10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10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10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10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10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10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10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10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10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10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10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10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10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10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10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10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10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10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10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10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10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10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10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10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10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10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10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10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10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10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10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10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10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10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10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10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10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10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10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10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10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10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10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10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10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10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10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10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10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10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10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10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10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10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10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10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10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10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10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10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10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10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10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10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10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10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10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10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10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10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10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10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10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10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10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10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10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10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10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10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10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10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10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10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10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10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10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10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10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10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10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10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10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10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10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10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10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10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10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10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10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10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10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10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10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10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10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10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10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10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10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10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10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10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>
      <c r="A1002" s="3"/>
      <c r="B1002" s="3"/>
      <c r="C1002" s="3"/>
      <c r="D1002" s="3"/>
      <c r="E1002" s="3"/>
      <c r="F1002" s="3"/>
      <c r="G1002" s="3"/>
      <c r="H1002" s="3"/>
      <c r="I1002" s="10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>
      <c r="A1003" s="3"/>
      <c r="B1003" s="3"/>
      <c r="C1003" s="3"/>
      <c r="D1003" s="3"/>
      <c r="E1003" s="3"/>
      <c r="F1003" s="3"/>
      <c r="G1003" s="3"/>
      <c r="H1003" s="3"/>
      <c r="I1003" s="10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>
      <c r="A1004" s="3"/>
      <c r="B1004" s="3"/>
      <c r="C1004" s="3"/>
      <c r="D1004" s="3"/>
      <c r="E1004" s="3"/>
      <c r="F1004" s="3"/>
      <c r="G1004" s="3"/>
      <c r="H1004" s="3"/>
      <c r="I1004" s="10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>
      <c r="A1005" s="3"/>
      <c r="B1005" s="3"/>
      <c r="C1005" s="3"/>
      <c r="D1005" s="3"/>
      <c r="E1005" s="3"/>
      <c r="F1005" s="3"/>
      <c r="G1005" s="3"/>
      <c r="H1005" s="3"/>
      <c r="I1005" s="10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>
      <c r="A1006" s="3"/>
      <c r="B1006" s="3"/>
      <c r="C1006" s="3"/>
      <c r="D1006" s="3"/>
      <c r="E1006" s="3"/>
      <c r="F1006" s="3"/>
      <c r="G1006" s="3"/>
      <c r="H1006" s="3"/>
      <c r="I1006" s="10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>
      <c r="A1007" s="3"/>
      <c r="B1007" s="3"/>
      <c r="C1007" s="3"/>
      <c r="D1007" s="3"/>
      <c r="E1007" s="3"/>
      <c r="F1007" s="3"/>
      <c r="G1007" s="3"/>
      <c r="H1007" s="3"/>
      <c r="I1007" s="10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>
      <c r="A1008" s="3"/>
      <c r="B1008" s="3"/>
      <c r="C1008" s="3"/>
      <c r="D1008" s="3"/>
      <c r="E1008" s="3"/>
      <c r="F1008" s="3"/>
      <c r="G1008" s="3"/>
      <c r="H1008" s="3"/>
      <c r="I1008" s="10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>
      <c r="A1009" s="3"/>
      <c r="B1009" s="3"/>
      <c r="C1009" s="3"/>
      <c r="D1009" s="3"/>
      <c r="E1009" s="3"/>
      <c r="F1009" s="3"/>
      <c r="G1009" s="3"/>
      <c r="H1009" s="3"/>
      <c r="I1009" s="10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>
      <c r="A1010" s="3"/>
      <c r="B1010" s="3"/>
      <c r="C1010" s="3"/>
      <c r="D1010" s="3"/>
      <c r="E1010" s="3"/>
      <c r="F1010" s="3"/>
      <c r="G1010" s="3"/>
      <c r="H1010" s="3"/>
      <c r="I1010" s="10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>
      <c r="A1011" s="3"/>
      <c r="B1011" s="3"/>
      <c r="C1011" s="3"/>
      <c r="D1011" s="3"/>
      <c r="E1011" s="3"/>
      <c r="F1011" s="3"/>
      <c r="G1011" s="3"/>
      <c r="H1011" s="3"/>
      <c r="I1011" s="10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>
      <c r="A1012" s="3"/>
      <c r="B1012" s="3"/>
      <c r="C1012" s="3"/>
      <c r="D1012" s="3"/>
      <c r="E1012" s="3"/>
      <c r="F1012" s="3"/>
      <c r="G1012" s="3"/>
      <c r="H1012" s="3"/>
      <c r="I1012" s="10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</sheetData>
  <mergeCells count="13">
    <mergeCell ref="B83:B89"/>
    <mergeCell ref="B91:B97"/>
    <mergeCell ref="B19:B25"/>
    <mergeCell ref="B27:B33"/>
    <mergeCell ref="B35:B41"/>
    <mergeCell ref="A3:A97"/>
    <mergeCell ref="B51:B57"/>
    <mergeCell ref="B59:B65"/>
    <mergeCell ref="B3:B9"/>
    <mergeCell ref="B11:B17"/>
    <mergeCell ref="B67:B73"/>
    <mergeCell ref="B75:B81"/>
    <mergeCell ref="B43:B49"/>
  </mergeCells>
  <hyperlinks>
    <hyperlink r:id="rId1" ref="F8"/>
    <hyperlink r:id="rId2" ref="G8"/>
    <hyperlink r:id="rId3" ref="H8"/>
    <hyperlink r:id="rId4" ref="I8"/>
    <hyperlink r:id="rId5" ref="J8"/>
    <hyperlink r:id="rId6" ref="K8"/>
    <hyperlink r:id="rId7" ref="L8"/>
    <hyperlink r:id="rId8" ref="M8"/>
    <hyperlink r:id="rId9" ref="N8"/>
    <hyperlink r:id="rId10" ref="O8"/>
    <hyperlink r:id="rId11" ref="P8"/>
    <hyperlink r:id="rId12" ref="Q8"/>
    <hyperlink r:id="rId13" ref="R8"/>
    <hyperlink r:id="rId14" ref="S8"/>
    <hyperlink r:id="rId15" ref="T8"/>
    <hyperlink r:id="rId16" ref="U8"/>
    <hyperlink r:id="rId17" ref="V8"/>
    <hyperlink r:id="rId18" ref="W8"/>
    <hyperlink r:id="rId19" ref="X8"/>
    <hyperlink r:id="rId20" ref="Y8"/>
    <hyperlink r:id="rId21" ref="Z8"/>
    <hyperlink r:id="rId22" ref="C16"/>
    <hyperlink r:id="rId23" ref="D16"/>
    <hyperlink r:id="rId24" ref="E16"/>
    <hyperlink r:id="rId25" ref="F16"/>
    <hyperlink r:id="rId26" ref="G16"/>
    <hyperlink r:id="rId27" ref="H16"/>
    <hyperlink r:id="rId28" ref="I16"/>
    <hyperlink r:id="rId29" ref="J16"/>
    <hyperlink r:id="rId30" ref="K16"/>
    <hyperlink r:id="rId31" ref="L16"/>
    <hyperlink r:id="rId32" ref="M16"/>
    <hyperlink r:id="rId33" ref="N16"/>
    <hyperlink r:id="rId34" ref="O16"/>
    <hyperlink r:id="rId35" ref="P16"/>
    <hyperlink r:id="rId36" ref="Q16"/>
    <hyperlink r:id="rId37" ref="R16"/>
    <hyperlink r:id="rId38" ref="S16"/>
    <hyperlink r:id="rId39" ref="T16"/>
    <hyperlink r:id="rId40" ref="U16"/>
    <hyperlink r:id="rId41" ref="V16"/>
    <hyperlink r:id="rId42" ref="W16"/>
    <hyperlink r:id="rId43" ref="X16"/>
    <hyperlink r:id="rId44" ref="Y16"/>
    <hyperlink r:id="rId45" ref="Z16"/>
    <hyperlink r:id="rId46" ref="C24"/>
    <hyperlink r:id="rId47" ref="D24"/>
    <hyperlink r:id="rId48" ref="E24"/>
    <hyperlink r:id="rId49" ref="F24"/>
    <hyperlink r:id="rId50" ref="G24"/>
    <hyperlink r:id="rId51" ref="H24"/>
    <hyperlink r:id="rId52" ref="I24"/>
    <hyperlink r:id="rId53" ref="J24"/>
    <hyperlink r:id="rId54" ref="K24"/>
    <hyperlink r:id="rId55" ref="L24"/>
    <hyperlink r:id="rId56" ref="M24"/>
    <hyperlink r:id="rId57" ref="N24"/>
    <hyperlink r:id="rId58" ref="O24"/>
    <hyperlink r:id="rId59" ref="P24"/>
    <hyperlink r:id="rId60" ref="Q24"/>
    <hyperlink r:id="rId61" ref="R24"/>
    <hyperlink r:id="rId62" ref="S24"/>
    <hyperlink r:id="rId63" ref="T24"/>
    <hyperlink r:id="rId64" ref="U24"/>
    <hyperlink r:id="rId65" ref="V24"/>
    <hyperlink r:id="rId66" ref="W24"/>
    <hyperlink r:id="rId67" ref="Z24"/>
    <hyperlink r:id="rId68" ref="C32"/>
    <hyperlink r:id="rId69" ref="D32"/>
    <hyperlink r:id="rId70" ref="E32"/>
    <hyperlink r:id="rId71" ref="F32"/>
    <hyperlink r:id="rId72" ref="G32"/>
    <hyperlink r:id="rId73" ref="H32"/>
    <hyperlink r:id="rId74" ref="I32"/>
    <hyperlink r:id="rId75" ref="J32"/>
    <hyperlink r:id="rId76" ref="K32"/>
    <hyperlink r:id="rId77" ref="L32"/>
    <hyperlink r:id="rId78" ref="M32"/>
    <hyperlink r:id="rId79" ref="N32"/>
    <hyperlink r:id="rId80" ref="O32"/>
    <hyperlink r:id="rId81" ref="P32"/>
    <hyperlink r:id="rId82" ref="Q32"/>
    <hyperlink r:id="rId83" ref="R32"/>
    <hyperlink r:id="rId84" ref="S32"/>
    <hyperlink r:id="rId85" ref="T32"/>
    <hyperlink r:id="rId86" ref="U32"/>
    <hyperlink r:id="rId87" ref="C40"/>
    <hyperlink r:id="rId88" ref="D40"/>
    <hyperlink r:id="rId89" ref="E40"/>
    <hyperlink r:id="rId90" ref="F40"/>
    <hyperlink r:id="rId91" ref="G40"/>
    <hyperlink r:id="rId92" ref="H40"/>
    <hyperlink r:id="rId93" ref="I40"/>
    <hyperlink r:id="rId94" ref="J40"/>
    <hyperlink r:id="rId95" ref="K40"/>
    <hyperlink r:id="rId96" ref="L40"/>
    <hyperlink r:id="rId97" ref="M40"/>
    <hyperlink r:id="rId98" ref="N40"/>
    <hyperlink r:id="rId99" ref="O40"/>
    <hyperlink r:id="rId100" ref="P40"/>
    <hyperlink r:id="rId101" ref="Q40"/>
    <hyperlink r:id="rId102" ref="R40"/>
    <hyperlink r:id="rId103" ref="S40"/>
    <hyperlink r:id="rId104" ref="U40"/>
    <hyperlink r:id="rId105" ref="V40"/>
    <hyperlink r:id="rId106" ref="C48"/>
    <hyperlink r:id="rId107" ref="D48"/>
    <hyperlink r:id="rId108" ref="E48"/>
    <hyperlink r:id="rId109" ref="F48"/>
    <hyperlink r:id="rId110" ref="G48"/>
    <hyperlink r:id="rId111" ref="H48"/>
    <hyperlink r:id="rId112" ref="J48"/>
    <hyperlink r:id="rId113" ref="K48"/>
    <hyperlink r:id="rId114" ref="L48"/>
    <hyperlink r:id="rId115" ref="M48"/>
    <hyperlink r:id="rId116" ref="N48"/>
    <hyperlink r:id="rId117" ref="O48"/>
    <hyperlink r:id="rId118" ref="P48"/>
    <hyperlink r:id="rId119" ref="Q48"/>
    <hyperlink r:id="rId120" ref="R48"/>
    <hyperlink r:id="rId121" ref="S48"/>
    <hyperlink r:id="rId122" ref="T48"/>
    <hyperlink r:id="rId123" ref="U48"/>
    <hyperlink r:id="rId124" ref="V48"/>
    <hyperlink r:id="rId125" ref="C56"/>
    <hyperlink r:id="rId126" ref="D56"/>
    <hyperlink r:id="rId127" ref="E56"/>
    <hyperlink r:id="rId128" ref="F56"/>
    <hyperlink r:id="rId129" ref="G56"/>
    <hyperlink r:id="rId130" ref="H56"/>
    <hyperlink r:id="rId131" ref="I56"/>
    <hyperlink r:id="rId132" ref="J56"/>
    <hyperlink r:id="rId133" ref="K56"/>
    <hyperlink r:id="rId134" ref="L56"/>
    <hyperlink r:id="rId135" ref="M56"/>
    <hyperlink r:id="rId136" ref="N56"/>
    <hyperlink r:id="rId137" ref="O56"/>
    <hyperlink r:id="rId138" ref="P56"/>
    <hyperlink r:id="rId139" ref="Q56"/>
    <hyperlink r:id="rId140" ref="R56"/>
    <hyperlink r:id="rId141" ref="S56"/>
    <hyperlink r:id="rId142" ref="T56"/>
    <hyperlink r:id="rId143" ref="U56"/>
    <hyperlink r:id="rId144" ref="V56"/>
    <hyperlink r:id="rId145" ref="C64"/>
    <hyperlink r:id="rId146" ref="D64"/>
    <hyperlink r:id="rId147" ref="E64"/>
    <hyperlink r:id="rId148" ref="F64"/>
    <hyperlink r:id="rId149" ref="G64"/>
    <hyperlink r:id="rId150" ref="H64"/>
    <hyperlink r:id="rId151" ref="I64"/>
    <hyperlink r:id="rId152" ref="J64"/>
    <hyperlink r:id="rId153" ref="K64"/>
    <hyperlink r:id="rId154" ref="L64"/>
    <hyperlink r:id="rId155" ref="M64"/>
    <hyperlink r:id="rId156" ref="N64"/>
    <hyperlink r:id="rId157" ref="O64"/>
    <hyperlink r:id="rId158" ref="P64"/>
    <hyperlink r:id="rId159" ref="Q64"/>
    <hyperlink r:id="rId160" ref="R64"/>
    <hyperlink r:id="rId161" ref="S64"/>
    <hyperlink r:id="rId162" ref="T64"/>
    <hyperlink r:id="rId163" ref="U64"/>
    <hyperlink r:id="rId164" ref="V64"/>
    <hyperlink r:id="rId165" ref="C72"/>
    <hyperlink r:id="rId166" ref="D72"/>
    <hyperlink r:id="rId167" ref="E72"/>
    <hyperlink r:id="rId168" ref="F72"/>
    <hyperlink r:id="rId169" ref="G72"/>
    <hyperlink r:id="rId170" ref="H72"/>
    <hyperlink r:id="rId171" ref="I72"/>
    <hyperlink r:id="rId172" ref="J72"/>
    <hyperlink r:id="rId173" ref="K72"/>
    <hyperlink r:id="rId174" ref="L72"/>
    <hyperlink r:id="rId175" ref="M72"/>
    <hyperlink r:id="rId176" ref="N72"/>
    <hyperlink r:id="rId177" ref="O72"/>
    <hyperlink r:id="rId178" ref="P72"/>
    <hyperlink r:id="rId179" ref="Q72"/>
    <hyperlink r:id="rId180" ref="R72"/>
    <hyperlink r:id="rId181" ref="S72"/>
    <hyperlink r:id="rId182" ref="T72"/>
    <hyperlink r:id="rId183" ref="U72"/>
    <hyperlink r:id="rId184" ref="V72"/>
    <hyperlink r:id="rId185" ref="C80"/>
    <hyperlink r:id="rId186" ref="D80"/>
    <hyperlink r:id="rId187" ref="E80"/>
    <hyperlink r:id="rId188" ref="F80"/>
    <hyperlink r:id="rId189" ref="G80"/>
    <hyperlink r:id="rId190" ref="H80"/>
    <hyperlink r:id="rId191" ref="I80"/>
    <hyperlink r:id="rId192" ref="J80"/>
    <hyperlink r:id="rId193" ref="K80"/>
    <hyperlink r:id="rId194" ref="L80"/>
    <hyperlink r:id="rId195" ref="M80"/>
    <hyperlink r:id="rId196" ref="N80"/>
    <hyperlink r:id="rId197" ref="O80"/>
    <hyperlink r:id="rId198" ref="P80"/>
    <hyperlink r:id="rId199" ref="Q80"/>
    <hyperlink r:id="rId200" ref="R80"/>
    <hyperlink r:id="rId201" ref="S80"/>
    <hyperlink r:id="rId202" ref="T80"/>
    <hyperlink r:id="rId203" ref="U80"/>
    <hyperlink r:id="rId204" ref="V80"/>
    <hyperlink r:id="rId205" ref="W80"/>
    <hyperlink r:id="rId206" ref="X80"/>
    <hyperlink r:id="rId207" ref="Y80"/>
    <hyperlink r:id="rId208" ref="C88"/>
    <hyperlink r:id="rId209" ref="D88"/>
    <hyperlink r:id="rId210" ref="E88"/>
    <hyperlink r:id="rId211" ref="F88"/>
    <hyperlink r:id="rId212" ref="G88"/>
    <hyperlink r:id="rId213" ref="H88"/>
    <hyperlink r:id="rId214" ref="I88"/>
    <hyperlink r:id="rId215" ref="J88"/>
    <hyperlink r:id="rId216" ref="K88"/>
    <hyperlink r:id="rId217" ref="L88"/>
    <hyperlink r:id="rId218" ref="M88"/>
    <hyperlink r:id="rId219" ref="N88"/>
    <hyperlink r:id="rId220" ref="O88"/>
    <hyperlink r:id="rId221" ref="P88"/>
    <hyperlink r:id="rId222" ref="C96"/>
    <hyperlink r:id="rId223" ref="D96"/>
    <hyperlink r:id="rId224" ref="E96"/>
    <hyperlink r:id="rId225" ref="F96"/>
    <hyperlink r:id="rId226" ref="G96"/>
    <hyperlink r:id="rId227" ref="H96"/>
    <hyperlink r:id="rId228" ref="I96"/>
    <hyperlink r:id="rId229" ref="J96"/>
    <hyperlink r:id="rId230" ref="K96"/>
    <hyperlink r:id="rId231" ref="L96"/>
    <hyperlink r:id="rId232" ref="M96"/>
    <hyperlink r:id="rId233" ref="N96"/>
    <hyperlink r:id="rId234" ref="O96"/>
    <hyperlink r:id="rId235" ref="P96"/>
    <hyperlink r:id="rId236" ref="Q96"/>
    <hyperlink r:id="rId237" ref="R96"/>
    <hyperlink r:id="rId238" ref="S96"/>
    <hyperlink r:id="rId239" ref="T96"/>
    <hyperlink r:id="rId240" ref="U96"/>
    <hyperlink r:id="rId241" ref="V96"/>
    <hyperlink r:id="rId242" ref="W96"/>
    <hyperlink r:id="rId243" ref="X96"/>
    <hyperlink r:id="rId244" ref="Y96"/>
  </hyperlinks>
  <drawing r:id="rId245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1" defaultRowHeight="15.0"/>
  <cols>
    <col customWidth="1" min="1" max="1" width="7.9"/>
    <col customWidth="1" min="2" max="2" width="7.5"/>
    <col customWidth="1" min="3" max="23" width="21.1"/>
    <col customWidth="1" min="24" max="24" width="20.5"/>
    <col customWidth="1" min="25" max="26" width="19.2"/>
  </cols>
  <sheetData>
    <row r="1">
      <c r="A1" s="1" t="s">
        <v>785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0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5" t="s">
        <v>2</v>
      </c>
      <c r="B2" s="5" t="s">
        <v>3</v>
      </c>
      <c r="C2" s="5" t="s">
        <v>4</v>
      </c>
      <c r="D2" s="12" t="s">
        <v>5</v>
      </c>
      <c r="E2" s="5" t="s">
        <v>6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14" t="s">
        <v>17</v>
      </c>
      <c r="P2" s="5" t="s">
        <v>18</v>
      </c>
      <c r="Q2" s="12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3"/>
      <c r="X2" s="3"/>
      <c r="Y2" s="3"/>
      <c r="Z2" s="3"/>
    </row>
    <row r="3" ht="15.0" customHeight="1">
      <c r="A3" s="6" t="s">
        <v>786</v>
      </c>
      <c r="B3" s="13" t="s">
        <v>30</v>
      </c>
      <c r="C3" s="19" t="s">
        <v>788</v>
      </c>
      <c r="D3" s="21" t="s">
        <v>788</v>
      </c>
      <c r="E3" s="26" t="s">
        <v>788</v>
      </c>
      <c r="F3" s="26" t="s">
        <v>788</v>
      </c>
      <c r="G3" s="26" t="s">
        <v>788</v>
      </c>
      <c r="H3" s="26" t="s">
        <v>788</v>
      </c>
      <c r="I3" s="26" t="s">
        <v>788</v>
      </c>
      <c r="J3" s="26" t="s">
        <v>788</v>
      </c>
      <c r="K3" s="26" t="s">
        <v>788</v>
      </c>
      <c r="L3" s="26" t="s">
        <v>788</v>
      </c>
      <c r="M3" s="26" t="s">
        <v>788</v>
      </c>
      <c r="N3" s="26" t="s">
        <v>788</v>
      </c>
      <c r="O3" s="234" t="s">
        <v>788</v>
      </c>
      <c r="P3" s="19" t="s">
        <v>788</v>
      </c>
      <c r="Q3" s="26" t="s">
        <v>788</v>
      </c>
      <c r="R3" s="26" t="s">
        <v>792</v>
      </c>
      <c r="S3" s="26" t="s">
        <v>792</v>
      </c>
      <c r="T3" s="26" t="s">
        <v>792</v>
      </c>
      <c r="U3" s="26" t="s">
        <v>792</v>
      </c>
      <c r="V3" s="26" t="s">
        <v>792</v>
      </c>
      <c r="W3" s="3"/>
      <c r="X3" s="3"/>
      <c r="Y3" s="3"/>
      <c r="Z3" s="3"/>
    </row>
    <row r="4" ht="30.0" customHeight="1">
      <c r="A4" s="27"/>
      <c r="B4" s="29"/>
      <c r="C4" s="46" t="s">
        <v>793</v>
      </c>
      <c r="D4" s="46" t="s">
        <v>794</v>
      </c>
      <c r="E4" s="42" t="s">
        <v>795</v>
      </c>
      <c r="F4" s="235" t="str">
        <f>HYPERLINK("https://www.youtube.com/watch?v=IRHK30gB2jo","การจัดกลุ่มของสิ่งมีชีวิต")</f>
        <v>การจัดกลุ่มของสิ่งมีชีวิต</v>
      </c>
      <c r="G4" s="42" t="s">
        <v>815</v>
      </c>
      <c r="H4" s="42" t="s">
        <v>816</v>
      </c>
      <c r="I4" s="42" t="s">
        <v>817</v>
      </c>
      <c r="J4" s="42" t="s">
        <v>818</v>
      </c>
      <c r="K4" s="42" t="s">
        <v>819</v>
      </c>
      <c r="L4" s="42" t="s">
        <v>821</v>
      </c>
      <c r="M4" s="42" t="s">
        <v>822</v>
      </c>
      <c r="N4" s="48" t="s">
        <v>823</v>
      </c>
      <c r="O4" s="49" t="s">
        <v>824</v>
      </c>
      <c r="P4" s="46" t="s">
        <v>825</v>
      </c>
      <c r="Q4" s="42" t="s">
        <v>827</v>
      </c>
      <c r="R4" s="42" t="s">
        <v>828</v>
      </c>
      <c r="S4" s="42" t="s">
        <v>830</v>
      </c>
      <c r="T4" s="42" t="s">
        <v>831</v>
      </c>
      <c r="U4" s="42" t="s">
        <v>833</v>
      </c>
      <c r="V4" s="42" t="s">
        <v>834</v>
      </c>
      <c r="W4" s="3"/>
      <c r="X4" s="3"/>
      <c r="Y4" s="3"/>
      <c r="Z4" s="3"/>
    </row>
    <row r="5">
      <c r="A5" s="27"/>
      <c r="B5" s="29"/>
      <c r="C5" s="203" t="s">
        <v>837</v>
      </c>
      <c r="D5" s="203" t="s">
        <v>837</v>
      </c>
      <c r="E5" s="203" t="s">
        <v>837</v>
      </c>
      <c r="F5" s="60" t="s">
        <v>838</v>
      </c>
      <c r="G5" s="60" t="s">
        <v>838</v>
      </c>
      <c r="H5" s="60" t="s">
        <v>838</v>
      </c>
      <c r="I5" s="60" t="s">
        <v>838</v>
      </c>
      <c r="J5" s="203" t="s">
        <v>837</v>
      </c>
      <c r="K5" s="62" t="s">
        <v>840</v>
      </c>
      <c r="L5" s="62" t="s">
        <v>840</v>
      </c>
      <c r="M5" s="62" t="s">
        <v>840</v>
      </c>
      <c r="N5" s="62" t="s">
        <v>841</v>
      </c>
      <c r="O5" s="62" t="s">
        <v>841</v>
      </c>
      <c r="P5" s="62" t="s">
        <v>841</v>
      </c>
      <c r="Q5" s="62" t="s">
        <v>841</v>
      </c>
      <c r="R5" s="62" t="s">
        <v>840</v>
      </c>
      <c r="S5" s="62" t="s">
        <v>840</v>
      </c>
      <c r="T5" s="62" t="s">
        <v>840</v>
      </c>
      <c r="U5" s="62" t="s">
        <v>840</v>
      </c>
      <c r="V5" s="62" t="s">
        <v>840</v>
      </c>
      <c r="W5" s="3"/>
      <c r="X5" s="3"/>
      <c r="Y5" s="3"/>
      <c r="Z5" s="3"/>
    </row>
    <row r="6">
      <c r="A6" s="27"/>
      <c r="B6" s="29"/>
      <c r="C6" s="203" t="s">
        <v>848</v>
      </c>
      <c r="D6" s="203" t="s">
        <v>848</v>
      </c>
      <c r="E6" s="203" t="s">
        <v>848</v>
      </c>
      <c r="F6" s="60" t="s">
        <v>851</v>
      </c>
      <c r="G6" s="60" t="s">
        <v>851</v>
      </c>
      <c r="H6" s="60" t="s">
        <v>851</v>
      </c>
      <c r="I6" s="60" t="s">
        <v>851</v>
      </c>
      <c r="J6" s="203" t="s">
        <v>848</v>
      </c>
      <c r="K6" s="236" t="s">
        <v>854</v>
      </c>
      <c r="L6" s="236" t="s">
        <v>854</v>
      </c>
      <c r="M6" s="236" t="s">
        <v>854</v>
      </c>
      <c r="N6" s="62" t="s">
        <v>870</v>
      </c>
      <c r="O6" s="62" t="s">
        <v>870</v>
      </c>
      <c r="P6" s="62" t="s">
        <v>870</v>
      </c>
      <c r="Q6" s="62" t="s">
        <v>870</v>
      </c>
      <c r="R6" s="236" t="s">
        <v>854</v>
      </c>
      <c r="S6" s="236" t="s">
        <v>854</v>
      </c>
      <c r="T6" s="236" t="s">
        <v>854</v>
      </c>
      <c r="U6" s="236" t="s">
        <v>854</v>
      </c>
      <c r="V6" s="236" t="s">
        <v>854</v>
      </c>
      <c r="W6" s="3"/>
      <c r="X6" s="3"/>
      <c r="Y6" s="3"/>
      <c r="Z6" s="3"/>
    </row>
    <row r="7">
      <c r="A7" s="27"/>
      <c r="B7" s="29"/>
      <c r="C7" s="203" t="s">
        <v>130</v>
      </c>
      <c r="D7" s="203" t="s">
        <v>130</v>
      </c>
      <c r="E7" s="203" t="s">
        <v>130</v>
      </c>
      <c r="F7" s="60" t="s">
        <v>877</v>
      </c>
      <c r="G7" s="60" t="s">
        <v>877</v>
      </c>
      <c r="H7" s="60" t="s">
        <v>877</v>
      </c>
      <c r="I7" s="60" t="s">
        <v>877</v>
      </c>
      <c r="J7" s="203" t="s">
        <v>130</v>
      </c>
      <c r="K7" s="236" t="s">
        <v>625</v>
      </c>
      <c r="L7" s="236" t="s">
        <v>625</v>
      </c>
      <c r="M7" s="236" t="s">
        <v>625</v>
      </c>
      <c r="N7" s="62" t="s">
        <v>878</v>
      </c>
      <c r="O7" s="62" t="s">
        <v>878</v>
      </c>
      <c r="P7" s="62" t="s">
        <v>878</v>
      </c>
      <c r="Q7" s="62" t="s">
        <v>878</v>
      </c>
      <c r="R7" s="236" t="s">
        <v>625</v>
      </c>
      <c r="S7" s="236" t="s">
        <v>625</v>
      </c>
      <c r="T7" s="236" t="s">
        <v>625</v>
      </c>
      <c r="U7" s="236" t="s">
        <v>625</v>
      </c>
      <c r="V7" s="236" t="s">
        <v>625</v>
      </c>
      <c r="W7" s="3"/>
      <c r="X7" s="3"/>
      <c r="Y7" s="3"/>
      <c r="Z7" s="3"/>
    </row>
    <row r="8">
      <c r="A8" s="27"/>
      <c r="B8" s="29"/>
      <c r="C8" s="91" t="s">
        <v>880</v>
      </c>
      <c r="D8" s="91" t="s">
        <v>883</v>
      </c>
      <c r="E8" s="239" t="s">
        <v>885</v>
      </c>
      <c r="F8" s="85" t="s">
        <v>892</v>
      </c>
      <c r="G8" s="85" t="s">
        <v>897</v>
      </c>
      <c r="H8" s="85" t="s">
        <v>901</v>
      </c>
      <c r="I8" s="85" t="s">
        <v>902</v>
      </c>
      <c r="J8" s="85" t="s">
        <v>905</v>
      </c>
      <c r="K8" s="85" t="s">
        <v>909</v>
      </c>
      <c r="L8" s="85" t="s">
        <v>912</v>
      </c>
      <c r="M8" s="85" t="s">
        <v>916</v>
      </c>
      <c r="N8" s="85" t="s">
        <v>920</v>
      </c>
      <c r="O8" s="241" t="s">
        <v>924</v>
      </c>
      <c r="P8" s="69" t="s">
        <v>933</v>
      </c>
      <c r="Q8" s="85" t="s">
        <v>934</v>
      </c>
      <c r="R8" s="85" t="s">
        <v>935</v>
      </c>
      <c r="S8" s="85" t="s">
        <v>936</v>
      </c>
      <c r="T8" s="85" t="s">
        <v>937</v>
      </c>
      <c r="U8" s="85" t="s">
        <v>938</v>
      </c>
      <c r="V8" s="85" t="s">
        <v>939</v>
      </c>
      <c r="W8" s="3"/>
      <c r="X8" s="3"/>
      <c r="Y8" s="3"/>
      <c r="Z8" s="3"/>
    </row>
    <row r="9">
      <c r="A9" s="27"/>
      <c r="B9" s="79"/>
      <c r="C9" s="152" t="s">
        <v>31</v>
      </c>
      <c r="D9" s="152" t="s">
        <v>31</v>
      </c>
      <c r="E9" s="152" t="s">
        <v>31</v>
      </c>
      <c r="F9" s="98" t="str">
        <f>HYPERLINK("https://drive.google.com/folderview?id=0B0x_dulH5-nEVHZYdnJNLVV1RE0&amp;usp=sharing","ดาวน์โหลดเอกสารประกอบ")</f>
        <v>ดาวน์โหลดเอกสารประกอบ</v>
      </c>
      <c r="G9" s="98" t="str">
        <f>HYPERLINK("https://drive.google.com/folderview?id=0B0x_dulH5-nEWWpaM0s5cWtlMWs&amp;usp=sharing","ดาวน์โหลดเอกสารประกอบ")</f>
        <v>ดาวน์โหลดเอกสารประกอบ</v>
      </c>
      <c r="H9" s="98" t="str">
        <f>HYPERLINK("https://drive.google.com/folderview?id=0B0x_dulH5-nEQXJDT3lWRFVMNnM&amp;usp=sharing","ดาวน์โหลดเอกสารประกอบ")</f>
        <v>ดาวน์โหลดเอกสารประกอบ</v>
      </c>
      <c r="I9" s="152" t="s">
        <v>31</v>
      </c>
      <c r="J9" s="152" t="s">
        <v>31</v>
      </c>
      <c r="K9" s="98" t="str">
        <f>HYPERLINK("https://drive.google.com/folderview?id=0B0x_dulH5-nEfi16d0FNd2JzM3JkLWlSdXRDY3hHLWQ4QW9HWGI4M3FNUlR1TnRuTlpKd00&amp;usp=sharing","ดาวน์โหลดเอกสารประกอบ")</f>
        <v>ดาวน์โหลดเอกสารประกอบ</v>
      </c>
      <c r="L9" s="98" t="str">
        <f>HYPERLINK("https://drive.google.com/folderview?id=0B0x_dulH5-nEfmc4Ukw1b0JQdEJ1akotX1hRZFJ4YVdiRUF2WUhQcUhBSVE2WGNIMGRlWHM&amp;usp=sharing","ดาวน์โหลดเอกสารประกอบ")</f>
        <v>ดาวน์โหลดเอกสารประกอบ</v>
      </c>
      <c r="M9" s="98" t="str">
        <f>HYPERLINK("https://drive.google.com/folderview?id=0B0x_dulH5-nEfl85djNfOEhtMF9pVE5YcXBsRG8zekxLSUpsVkJKNmU5MXVRX1FOeE5idWs&amp;usp=sharing","ดาวน์โหลดเอกสารประกอบ")</f>
        <v>ดาวน์โหลดเอกสารประกอบ</v>
      </c>
      <c r="N9" s="152" t="s">
        <v>31</v>
      </c>
      <c r="O9" s="213" t="s">
        <v>31</v>
      </c>
      <c r="P9" s="94" t="s">
        <v>31</v>
      </c>
      <c r="Q9" s="164" t="s">
        <v>31</v>
      </c>
      <c r="R9" s="98" t="str">
        <f>HYPERLINK("https://drive.google.com/folderview?id=0B0x_dulH5-nEflZ5d1lsMElWU1gtZldmWnk3VnhOcm5rZGxlaURxcVZOYkJsNV93NVV1aGM&amp;usp=sharing","ดาวน์โหลดเอกสารประกอบ")</f>
        <v>ดาวน์โหลดเอกสารประกอบ</v>
      </c>
      <c r="S9" s="98" t="str">
        <f>HYPERLINK("https://drive.google.com/folderview?id=0B0x_dulH5-nEfk9lN05TcGVSd3Q0alVTQWd2YVphQ0x3cF8zOGNkZHZRUWNkREdmUVNFZ2c&amp;usp=sharing","ดาวน์โหลดเอกสารประกอบ")</f>
        <v>ดาวน์โหลดเอกสารประกอบ</v>
      </c>
      <c r="T9" s="98" t="str">
        <f>HYPERLINK("https://drive.google.com/folderview?id=0B0x_dulH5-nEfnhVM3BhX2N3LTlLUHRTUWJTSGpTVFpMa00xR3BIQ052RDVSXzJqbTJaa0k&amp;usp=sharing","ดาวน์โหลดเอกสารประกอบ")</f>
        <v>ดาวน์โหลดเอกสารประกอบ</v>
      </c>
      <c r="U9" s="98" t="str">
        <f>HYPERLINK("https://drive.google.com/folderview?id=0B0x_dulH5-nEfk04dHBmR3VtMjdoZVBna1FKalVpckI3OF9oLW1pMlVycVdZZDBVOU9PRVk&amp;usp=sharing","ดาวน์โหลดเอกสารประกอบ")</f>
        <v>ดาวน์โหลดเอกสารประกอบ</v>
      </c>
      <c r="V9" s="98" t="str">
        <f>HYPERLINK("https://drive.google.com/folderview?id=0B0x_dulH5-nEflMtU2dDa1NLMFlxUHpnRDJQLTE1N3dRTWR6cmdnaHpfb24zRTRERG82ZDA&amp;usp=sharing","ดาวน์โหลดเอกสารประกอบ")</f>
        <v>ดาวน์โหลดเอกสารประกอบ</v>
      </c>
      <c r="W9" s="3"/>
      <c r="X9" s="3"/>
      <c r="Y9" s="3"/>
      <c r="Z9" s="3"/>
    </row>
    <row r="10">
      <c r="A10" s="27"/>
      <c r="B10" s="5" t="s">
        <v>3</v>
      </c>
      <c r="C10" s="5" t="s">
        <v>4</v>
      </c>
      <c r="D10" s="12" t="s">
        <v>5</v>
      </c>
      <c r="E10" s="5" t="s">
        <v>6</v>
      </c>
      <c r="F10" s="5" t="s">
        <v>8</v>
      </c>
      <c r="G10" s="5" t="s">
        <v>9</v>
      </c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  <c r="N10" s="5" t="s">
        <v>16</v>
      </c>
      <c r="O10" s="14" t="s">
        <v>17</v>
      </c>
      <c r="P10" s="242" t="s">
        <v>18</v>
      </c>
      <c r="Q10" s="12" t="s">
        <v>19</v>
      </c>
      <c r="R10" s="5" t="s">
        <v>20</v>
      </c>
      <c r="S10" s="5" t="s">
        <v>21</v>
      </c>
      <c r="T10" s="5" t="s">
        <v>22</v>
      </c>
      <c r="U10" s="5" t="s">
        <v>23</v>
      </c>
      <c r="V10" s="5" t="s">
        <v>24</v>
      </c>
      <c r="W10" s="3"/>
      <c r="X10" s="3"/>
      <c r="Y10" s="3"/>
      <c r="Z10" s="3"/>
    </row>
    <row r="11">
      <c r="A11" s="27"/>
      <c r="B11" s="13" t="s">
        <v>113</v>
      </c>
      <c r="C11" s="19" t="s">
        <v>788</v>
      </c>
      <c r="D11" s="19" t="s">
        <v>788</v>
      </c>
      <c r="E11" s="19" t="s">
        <v>788</v>
      </c>
      <c r="F11" s="19" t="s">
        <v>788</v>
      </c>
      <c r="G11" s="141" t="s">
        <v>940</v>
      </c>
      <c r="H11" s="141" t="s">
        <v>940</v>
      </c>
      <c r="I11" s="19" t="s">
        <v>788</v>
      </c>
      <c r="J11" s="19" t="s">
        <v>788</v>
      </c>
      <c r="K11" s="19" t="s">
        <v>788</v>
      </c>
      <c r="L11" s="19" t="s">
        <v>788</v>
      </c>
      <c r="M11" s="141" t="s">
        <v>940</v>
      </c>
      <c r="N11" s="141" t="s">
        <v>940</v>
      </c>
      <c r="O11" s="141" t="s">
        <v>940</v>
      </c>
      <c r="P11" s="141" t="s">
        <v>940</v>
      </c>
      <c r="Q11" s="19" t="s">
        <v>941</v>
      </c>
      <c r="R11" s="19" t="s">
        <v>941</v>
      </c>
      <c r="S11" s="19" t="s">
        <v>941</v>
      </c>
      <c r="T11" s="19" t="s">
        <v>941</v>
      </c>
      <c r="U11" s="19" t="s">
        <v>941</v>
      </c>
      <c r="V11" s="19"/>
      <c r="W11" s="3"/>
      <c r="X11" s="3"/>
      <c r="Y11" s="3"/>
      <c r="Z11" s="3"/>
    </row>
    <row r="12" ht="45.0" customHeight="1">
      <c r="A12" s="27"/>
      <c r="B12" s="29"/>
      <c r="C12" s="39" t="str">
        <f>HYPERLINK("https://www.youtube.com/watch?v=WIpPcb0aRpM","น้ำเป็นปัจจัยที่จำเป็นต่อการดำรงชีวิตของพืช ตอน 1")</f>
        <v>น้ำเป็นปัจจัยที่จำเป็นต่อการดำรงชีวิตของพืช ตอน 1</v>
      </c>
      <c r="D12" s="55" t="s">
        <v>942</v>
      </c>
      <c r="E12" s="55" t="s">
        <v>943</v>
      </c>
      <c r="F12" s="200" t="s">
        <v>944</v>
      </c>
      <c r="G12" s="243" t="s">
        <v>945</v>
      </c>
      <c r="H12" s="48" t="s">
        <v>946</v>
      </c>
      <c r="I12" s="46" t="s">
        <v>948</v>
      </c>
      <c r="J12" s="46" t="s">
        <v>950</v>
      </c>
      <c r="K12" s="46" t="s">
        <v>952</v>
      </c>
      <c r="L12" s="46" t="s">
        <v>954</v>
      </c>
      <c r="M12" s="55" t="s">
        <v>956</v>
      </c>
      <c r="N12" s="55" t="s">
        <v>958</v>
      </c>
      <c r="O12" s="200" t="s">
        <v>960</v>
      </c>
      <c r="P12" s="200" t="s">
        <v>962</v>
      </c>
      <c r="Q12" s="46" t="s">
        <v>964</v>
      </c>
      <c r="R12" s="46" t="s">
        <v>966</v>
      </c>
      <c r="S12" s="46" t="s">
        <v>968</v>
      </c>
      <c r="T12" s="55" t="s">
        <v>970</v>
      </c>
      <c r="U12" s="55" t="s">
        <v>972</v>
      </c>
      <c r="V12" s="55"/>
      <c r="W12" s="3"/>
      <c r="X12" s="3"/>
      <c r="Y12" s="3"/>
      <c r="Z12" s="3"/>
    </row>
    <row r="13">
      <c r="A13" s="27"/>
      <c r="B13" s="29"/>
      <c r="C13" s="10" t="s">
        <v>978</v>
      </c>
      <c r="D13" s="10" t="s">
        <v>978</v>
      </c>
      <c r="E13" s="10" t="s">
        <v>978</v>
      </c>
      <c r="F13" s="10" t="s">
        <v>978</v>
      </c>
      <c r="G13" s="10" t="s">
        <v>978</v>
      </c>
      <c r="H13" s="10" t="s">
        <v>978</v>
      </c>
      <c r="I13" s="75" t="s">
        <v>979</v>
      </c>
      <c r="J13" s="75" t="s">
        <v>979</v>
      </c>
      <c r="K13" s="75" t="s">
        <v>979</v>
      </c>
      <c r="L13" s="75" t="s">
        <v>979</v>
      </c>
      <c r="M13" s="10" t="s">
        <v>978</v>
      </c>
      <c r="N13" s="10" t="s">
        <v>978</v>
      </c>
      <c r="O13" s="10" t="s">
        <v>978</v>
      </c>
      <c r="P13" s="10" t="s">
        <v>978</v>
      </c>
      <c r="Q13" s="75" t="s">
        <v>983</v>
      </c>
      <c r="R13" s="75" t="s">
        <v>983</v>
      </c>
      <c r="S13" s="75" t="s">
        <v>983</v>
      </c>
      <c r="T13" s="75" t="s">
        <v>983</v>
      </c>
      <c r="U13" s="75" t="s">
        <v>983</v>
      </c>
      <c r="V13" s="75"/>
      <c r="W13" s="3"/>
      <c r="X13" s="3"/>
      <c r="Y13" s="3"/>
      <c r="Z13" s="3"/>
    </row>
    <row r="14">
      <c r="A14" s="27"/>
      <c r="B14" s="29"/>
      <c r="C14" s="10" t="s">
        <v>991</v>
      </c>
      <c r="D14" s="10" t="s">
        <v>991</v>
      </c>
      <c r="E14" s="10" t="s">
        <v>991</v>
      </c>
      <c r="F14" s="10" t="s">
        <v>991</v>
      </c>
      <c r="G14" s="10" t="s">
        <v>991</v>
      </c>
      <c r="H14" s="10" t="s">
        <v>991</v>
      </c>
      <c r="I14" s="75" t="s">
        <v>876</v>
      </c>
      <c r="J14" s="75" t="s">
        <v>876</v>
      </c>
      <c r="K14" s="75" t="s">
        <v>876</v>
      </c>
      <c r="L14" s="75" t="s">
        <v>876</v>
      </c>
      <c r="M14" s="10" t="s">
        <v>991</v>
      </c>
      <c r="N14" s="10" t="s">
        <v>991</v>
      </c>
      <c r="O14" s="10" t="s">
        <v>991</v>
      </c>
      <c r="P14" s="10" t="s">
        <v>991</v>
      </c>
      <c r="Q14" s="75" t="s">
        <v>1005</v>
      </c>
      <c r="R14" s="75" t="s">
        <v>1005</v>
      </c>
      <c r="S14" s="75" t="s">
        <v>1005</v>
      </c>
      <c r="T14" s="75" t="s">
        <v>1005</v>
      </c>
      <c r="U14" s="75" t="s">
        <v>1005</v>
      </c>
      <c r="V14" s="75"/>
      <c r="W14" s="3"/>
      <c r="X14" s="3"/>
      <c r="Y14" s="3"/>
      <c r="Z14" s="3"/>
    </row>
    <row r="15">
      <c r="A15" s="27"/>
      <c r="B15" s="29"/>
      <c r="C15" s="10" t="s">
        <v>105</v>
      </c>
      <c r="D15" s="10" t="s">
        <v>105</v>
      </c>
      <c r="E15" s="10" t="s">
        <v>105</v>
      </c>
      <c r="F15" s="10" t="s">
        <v>105</v>
      </c>
      <c r="G15" s="10" t="s">
        <v>105</v>
      </c>
      <c r="H15" s="10" t="s">
        <v>105</v>
      </c>
      <c r="I15" s="75" t="s">
        <v>233</v>
      </c>
      <c r="J15" s="75" t="s">
        <v>233</v>
      </c>
      <c r="K15" s="75" t="s">
        <v>233</v>
      </c>
      <c r="L15" s="75" t="s">
        <v>233</v>
      </c>
      <c r="M15" s="10" t="s">
        <v>105</v>
      </c>
      <c r="N15" s="10" t="s">
        <v>105</v>
      </c>
      <c r="O15" s="10" t="s">
        <v>105</v>
      </c>
      <c r="P15" s="10" t="s">
        <v>105</v>
      </c>
      <c r="Q15" s="75" t="s">
        <v>477</v>
      </c>
      <c r="R15" s="75" t="s">
        <v>477</v>
      </c>
      <c r="S15" s="75" t="s">
        <v>477</v>
      </c>
      <c r="T15" s="75" t="s">
        <v>477</v>
      </c>
      <c r="U15" s="75" t="s">
        <v>477</v>
      </c>
      <c r="V15" s="75"/>
      <c r="W15" s="3"/>
      <c r="X15" s="3"/>
      <c r="Y15" s="3"/>
      <c r="Z15" s="3"/>
    </row>
    <row r="16">
      <c r="A16" s="27"/>
      <c r="B16" s="29"/>
      <c r="C16" s="91" t="s">
        <v>1020</v>
      </c>
      <c r="D16" s="91" t="s">
        <v>1025</v>
      </c>
      <c r="E16" s="91" t="s">
        <v>1027</v>
      </c>
      <c r="F16" s="91" t="s">
        <v>1030</v>
      </c>
      <c r="G16" s="91" t="s">
        <v>1033</v>
      </c>
      <c r="H16" s="91" t="s">
        <v>1035</v>
      </c>
      <c r="I16" s="91" t="s">
        <v>1037</v>
      </c>
      <c r="J16" s="91" t="s">
        <v>1041</v>
      </c>
      <c r="K16" s="91" t="s">
        <v>1043</v>
      </c>
      <c r="L16" s="91" t="s">
        <v>1046</v>
      </c>
      <c r="M16" s="244" t="s">
        <v>1049</v>
      </c>
      <c r="N16" s="91" t="s">
        <v>1054</v>
      </c>
      <c r="O16" s="87" t="s">
        <v>1057</v>
      </c>
      <c r="P16" s="69" t="s">
        <v>1060</v>
      </c>
      <c r="Q16" s="91" t="s">
        <v>1063</v>
      </c>
      <c r="R16" s="91" t="s">
        <v>1066</v>
      </c>
      <c r="S16" s="91" t="s">
        <v>1069</v>
      </c>
      <c r="T16" s="91" t="s">
        <v>1071</v>
      </c>
      <c r="U16" s="91" t="s">
        <v>1074</v>
      </c>
      <c r="V16" s="152"/>
      <c r="W16" s="3"/>
      <c r="X16" s="3"/>
      <c r="Y16" s="3"/>
      <c r="Z16" s="3"/>
    </row>
    <row r="17">
      <c r="A17" s="27"/>
      <c r="B17" s="79"/>
      <c r="C17" s="152" t="s">
        <v>31</v>
      </c>
      <c r="D17" s="152" t="s">
        <v>31</v>
      </c>
      <c r="E17" s="152" t="s">
        <v>31</v>
      </c>
      <c r="F17" s="152" t="s">
        <v>31</v>
      </c>
      <c r="G17" s="98" t="str">
        <f>HYPERLINK("https://drive.google.com/folderview?id=0B4mky1MMW8dYOTV4eDBIMHJ2Sms&amp;usp=sharing","ดาวน์โหลดเอกสารประกอบ")</f>
        <v>ดาวน์โหลดเอกสารประกอบ</v>
      </c>
      <c r="H17" s="98" t="str">
        <f>HYPERLINK("https://drive.google.com/folderview?id=0B4mky1MMW8dYU2kzcmhEVm5oUzQ&amp;usp=sharing","ดาวน์โหลดเอกสารประกอบ")</f>
        <v>ดาวน์โหลดเอกสารประกอบ</v>
      </c>
      <c r="I17" s="152" t="s">
        <v>195</v>
      </c>
      <c r="J17" s="152" t="s">
        <v>31</v>
      </c>
      <c r="K17" s="152" t="s">
        <v>31</v>
      </c>
      <c r="L17" s="152" t="s">
        <v>31</v>
      </c>
      <c r="M17" s="98" t="str">
        <f>HYPERLINK("https://drive.google.com/folderview?id=0B4mky1MMW8dYbWc3dGw2STlxU1E&amp;usp=sharing","ดาวน์โหลดเอกสารประกอบ")</f>
        <v>ดาวน์โหลดเอกสารประกอบ</v>
      </c>
      <c r="N17" s="152" t="s">
        <v>31</v>
      </c>
      <c r="O17" s="106" t="str">
        <f>HYPERLINK("https://drive.google.com/folderview?id=0B4mky1MMW8dYOTlPUG5TQThjVW8&amp;usp=sharing","ดาวน์โหลดเอกสารประกอบ")</f>
        <v>ดาวน์โหลดเอกสารประกอบ</v>
      </c>
      <c r="P17" s="246" t="str">
        <f>HYPERLINK("https://drive.google.com/folderview?id=0B4mky1MMW8dYdWJGY3kzZ1hQbk0&amp;usp=sharing","ดาวน์โหลดเอกสารประกอบ")</f>
        <v>ดาวน์โหลดเอกสารประกอบ</v>
      </c>
      <c r="Q17" s="98" t="str">
        <f>HYPERLINK("https://drive.google.com/folderview?id=0B0x_dulH5-nEfld5YzU5TWRjZnVmVEF5a253czhaRElsVEZVNlJwTkI1RzQwX0tOdmIzWFk&amp;usp=sharing","ดาวน์โหลดเอกสารประกอบ")</f>
        <v>ดาวน์โหลดเอกสารประกอบ</v>
      </c>
      <c r="R17" s="98" t="str">
        <f>HYPERLINK("https://drive.google.com/folderview?id=0B0x_dulH5-nEfnVFR20wby0zQVlMVHhOOXBYNTdhZ2w5d01nRTZNaXZkZFBxT3dyYVlYRWs&amp;usp=sharing","ดาวน์โหลดเอกสารประกอบ")</f>
        <v>ดาวน์โหลดเอกสารประกอบ</v>
      </c>
      <c r="S17" s="98" t="str">
        <f>HYPERLINK("https://drive.google.com/folderview?id=0B0x_dulH5-nEfnJqeWdkRUJBbGQxbUNhcVh6MV8xWUpSaW9hZFVZbnpoMVZrY1M0VW5FUDg&amp;usp=sharing","ดาวน์โหลดเอกสารประกอบ")</f>
        <v>ดาวน์โหลดเอกสารประกอบ</v>
      </c>
      <c r="T17" s="98" t="str">
        <f>HYPERLINK("https://drive.google.com/folderview?id=0B0x_dulH5-nEflRlTkpqMW5qTXRYOE9KM1I3RUZ2ckRrNjE4a0hoX3k2NnJmcTcyeHpURjA&amp;usp=sharing","ดาวน์โหลดเอกสารประกอบ")</f>
        <v>ดาวน์โหลดเอกสารประกอบ</v>
      </c>
      <c r="U17" s="98" t="str">
        <f>HYPERLINK("https://drive.google.com/folderview?id=0B0x_dulH5-nEfmRCNlJ4dTluVDlzQzBsdVlRVDZ4VEMzcnRYYWJsOGp0WHNiZHliNlY4aWM&amp;usp=sharing","ดาวน์โหลดเอกสารประกอบ")</f>
        <v>ดาวน์โหลดเอกสารประกอบ</v>
      </c>
      <c r="V17" s="129"/>
      <c r="W17" s="3"/>
      <c r="X17" s="3"/>
      <c r="Y17" s="3"/>
      <c r="Z17" s="3"/>
    </row>
    <row r="18">
      <c r="A18" s="27"/>
      <c r="B18" s="5" t="s">
        <v>3</v>
      </c>
      <c r="C18" s="5" t="s">
        <v>4</v>
      </c>
      <c r="D18" s="12" t="s">
        <v>5</v>
      </c>
      <c r="E18" s="5" t="s">
        <v>6</v>
      </c>
      <c r="F18" s="5" t="s">
        <v>8</v>
      </c>
      <c r="G18" s="5" t="s">
        <v>9</v>
      </c>
      <c r="H18" s="5" t="s">
        <v>10</v>
      </c>
      <c r="I18" s="5" t="s">
        <v>11</v>
      </c>
      <c r="J18" s="5" t="s">
        <v>12</v>
      </c>
      <c r="K18" s="5" t="s">
        <v>13</v>
      </c>
      <c r="L18" s="5" t="s">
        <v>14</v>
      </c>
      <c r="M18" s="5" t="s">
        <v>15</v>
      </c>
      <c r="N18" s="5" t="s">
        <v>16</v>
      </c>
      <c r="O18" s="14" t="s">
        <v>17</v>
      </c>
      <c r="P18" s="242" t="s">
        <v>18</v>
      </c>
      <c r="Q18" s="12" t="s">
        <v>19</v>
      </c>
      <c r="R18" s="5" t="s">
        <v>20</v>
      </c>
      <c r="S18" s="5" t="s">
        <v>21</v>
      </c>
      <c r="T18" s="5" t="s">
        <v>22</v>
      </c>
      <c r="U18" s="5" t="s">
        <v>23</v>
      </c>
      <c r="V18" s="5" t="s">
        <v>24</v>
      </c>
      <c r="W18" s="247"/>
      <c r="X18" s="3"/>
      <c r="Y18" s="3"/>
      <c r="Z18" s="3"/>
    </row>
    <row r="19">
      <c r="A19" s="27"/>
      <c r="B19" s="248" t="s">
        <v>140</v>
      </c>
      <c r="C19" s="19" t="s">
        <v>1108</v>
      </c>
      <c r="D19" s="19" t="s">
        <v>1108</v>
      </c>
      <c r="E19" s="19" t="s">
        <v>1108</v>
      </c>
      <c r="F19" s="19" t="s">
        <v>1108</v>
      </c>
      <c r="G19" s="19" t="s">
        <v>1108</v>
      </c>
      <c r="H19" s="19" t="s">
        <v>1109</v>
      </c>
      <c r="I19" s="19" t="s">
        <v>1109</v>
      </c>
      <c r="J19" s="19" t="s">
        <v>1109</v>
      </c>
      <c r="K19" s="19" t="s">
        <v>1109</v>
      </c>
      <c r="L19" s="141" t="s">
        <v>940</v>
      </c>
      <c r="M19" s="141" t="s">
        <v>940</v>
      </c>
      <c r="N19" s="141" t="s">
        <v>940</v>
      </c>
      <c r="O19" s="249" t="s">
        <v>940</v>
      </c>
      <c r="P19" s="141" t="s">
        <v>940</v>
      </c>
      <c r="Q19" s="251" t="s">
        <v>940</v>
      </c>
      <c r="R19" s="19" t="s">
        <v>941</v>
      </c>
      <c r="S19" s="19" t="s">
        <v>941</v>
      </c>
      <c r="T19" s="19" t="s">
        <v>941</v>
      </c>
      <c r="U19" s="19" t="s">
        <v>941</v>
      </c>
      <c r="V19" s="19" t="s">
        <v>941</v>
      </c>
      <c r="W19" s="253"/>
      <c r="X19" s="3"/>
      <c r="Y19" s="3"/>
      <c r="Z19" s="3"/>
    </row>
    <row r="20" ht="45.0" customHeight="1">
      <c r="A20" s="27"/>
      <c r="B20" s="29"/>
      <c r="C20" s="39" t="str">
        <f>HYPERLINK("https://www.youtube.com/watch?v=hjfnu2KE78w","ของเล่นของใช้ใกล้ตัว")</f>
        <v>ของเล่นของใช้ใกล้ตัว</v>
      </c>
      <c r="D20" s="46" t="s">
        <v>1123</v>
      </c>
      <c r="E20" s="55" t="s">
        <v>1124</v>
      </c>
      <c r="F20" s="55" t="s">
        <v>1126</v>
      </c>
      <c r="G20" s="55" t="s">
        <v>1127</v>
      </c>
      <c r="H20" s="55" t="s">
        <v>1128</v>
      </c>
      <c r="I20" s="55" t="s">
        <v>1130</v>
      </c>
      <c r="J20" s="55" t="s">
        <v>1131</v>
      </c>
      <c r="K20" s="55" t="s">
        <v>1133</v>
      </c>
      <c r="L20" s="55" t="s">
        <v>1134</v>
      </c>
      <c r="M20" s="55" t="s">
        <v>1135</v>
      </c>
      <c r="N20" s="55" t="s">
        <v>1136</v>
      </c>
      <c r="O20" s="200" t="s">
        <v>1137</v>
      </c>
      <c r="P20" s="55" t="s">
        <v>1138</v>
      </c>
      <c r="Q20" s="48" t="s">
        <v>1139</v>
      </c>
      <c r="R20" s="55" t="s">
        <v>1140</v>
      </c>
      <c r="S20" s="55" t="s">
        <v>1142</v>
      </c>
      <c r="T20" s="55" t="s">
        <v>1143</v>
      </c>
      <c r="U20" s="55" t="s">
        <v>1144</v>
      </c>
      <c r="V20" s="55" t="s">
        <v>1145</v>
      </c>
      <c r="W20" s="254"/>
      <c r="X20" s="3"/>
      <c r="Y20" s="3"/>
      <c r="Z20" s="3"/>
    </row>
    <row r="21">
      <c r="A21" s="27"/>
      <c r="B21" s="29"/>
      <c r="C21" s="10" t="s">
        <v>1151</v>
      </c>
      <c r="D21" s="10" t="s">
        <v>1151</v>
      </c>
      <c r="E21" s="10" t="s">
        <v>1151</v>
      </c>
      <c r="F21" s="10" t="s">
        <v>1151</v>
      </c>
      <c r="G21" s="75" t="s">
        <v>1156</v>
      </c>
      <c r="H21" s="75" t="s">
        <v>1156</v>
      </c>
      <c r="I21" s="75" t="s">
        <v>1156</v>
      </c>
      <c r="J21" s="75" t="s">
        <v>1156</v>
      </c>
      <c r="K21" s="75" t="s">
        <v>1156</v>
      </c>
      <c r="L21" s="75" t="s">
        <v>1161</v>
      </c>
      <c r="M21" s="75" t="s">
        <v>1161</v>
      </c>
      <c r="N21" s="75" t="s">
        <v>1161</v>
      </c>
      <c r="O21" s="202" t="s">
        <v>1161</v>
      </c>
      <c r="P21" s="75" t="s">
        <v>1161</v>
      </c>
      <c r="Q21" s="62" t="s">
        <v>1161</v>
      </c>
      <c r="R21" s="75" t="s">
        <v>1167</v>
      </c>
      <c r="S21" s="75" t="s">
        <v>1167</v>
      </c>
      <c r="T21" s="75" t="s">
        <v>1168</v>
      </c>
      <c r="U21" s="75" t="s">
        <v>1168</v>
      </c>
      <c r="V21" s="75" t="s">
        <v>1168</v>
      </c>
      <c r="W21" s="247"/>
      <c r="X21" s="3"/>
      <c r="Y21" s="3"/>
      <c r="Z21" s="3"/>
    </row>
    <row r="22">
      <c r="A22" s="27"/>
      <c r="B22" s="29"/>
      <c r="C22" s="10" t="s">
        <v>763</v>
      </c>
      <c r="D22" s="10" t="s">
        <v>763</v>
      </c>
      <c r="E22" s="10" t="s">
        <v>763</v>
      </c>
      <c r="F22" s="10" t="s">
        <v>763</v>
      </c>
      <c r="G22" s="75" t="s">
        <v>1169</v>
      </c>
      <c r="H22" s="75" t="s">
        <v>1169</v>
      </c>
      <c r="I22" s="75" t="s">
        <v>1169</v>
      </c>
      <c r="J22" s="75" t="s">
        <v>1169</v>
      </c>
      <c r="K22" s="75" t="s">
        <v>1169</v>
      </c>
      <c r="L22" s="75" t="s">
        <v>1170</v>
      </c>
      <c r="M22" s="75" t="s">
        <v>1170</v>
      </c>
      <c r="N22" s="75" t="s">
        <v>1170</v>
      </c>
      <c r="O22" s="202" t="s">
        <v>1170</v>
      </c>
      <c r="P22" s="75" t="s">
        <v>1170</v>
      </c>
      <c r="Q22" s="62" t="s">
        <v>1170</v>
      </c>
      <c r="R22" s="75" t="s">
        <v>1172</v>
      </c>
      <c r="S22" s="75" t="s">
        <v>1172</v>
      </c>
      <c r="T22" s="75" t="s">
        <v>1173</v>
      </c>
      <c r="U22" s="75" t="s">
        <v>1173</v>
      </c>
      <c r="V22" s="75" t="s">
        <v>1173</v>
      </c>
      <c r="W22" s="247"/>
      <c r="X22" s="3"/>
      <c r="Y22" s="3"/>
      <c r="Z22" s="3"/>
    </row>
    <row r="23">
      <c r="A23" s="27"/>
      <c r="B23" s="29"/>
      <c r="C23" s="10" t="s">
        <v>105</v>
      </c>
      <c r="D23" s="10" t="s">
        <v>105</v>
      </c>
      <c r="E23" s="10" t="s">
        <v>105</v>
      </c>
      <c r="F23" s="10" t="s">
        <v>105</v>
      </c>
      <c r="G23" s="75" t="s">
        <v>1174</v>
      </c>
      <c r="H23" s="75" t="s">
        <v>1174</v>
      </c>
      <c r="I23" s="75" t="s">
        <v>1174</v>
      </c>
      <c r="J23" s="75" t="s">
        <v>1174</v>
      </c>
      <c r="K23" s="75" t="s">
        <v>1174</v>
      </c>
      <c r="L23" s="75" t="s">
        <v>1175</v>
      </c>
      <c r="M23" s="75" t="s">
        <v>1175</v>
      </c>
      <c r="N23" s="75" t="s">
        <v>1175</v>
      </c>
      <c r="O23" s="202" t="s">
        <v>1175</v>
      </c>
      <c r="P23" s="75" t="s">
        <v>1175</v>
      </c>
      <c r="Q23" s="62" t="s">
        <v>1175</v>
      </c>
      <c r="R23" s="75" t="s">
        <v>1176</v>
      </c>
      <c r="S23" s="75" t="s">
        <v>1176</v>
      </c>
      <c r="T23" s="75" t="s">
        <v>1174</v>
      </c>
      <c r="U23" s="75" t="s">
        <v>1174</v>
      </c>
      <c r="V23" s="75" t="s">
        <v>1174</v>
      </c>
      <c r="W23" s="247"/>
      <c r="X23" s="3"/>
      <c r="Y23" s="3"/>
      <c r="Z23" s="3"/>
    </row>
    <row r="24">
      <c r="A24" s="27"/>
      <c r="B24" s="29"/>
      <c r="C24" s="98" t="str">
        <f>HYPERLINK("https://www.youtube.com/watch?v=hjfnu2KE78w","https://www.youtube.com/watch?v=hjfnu2KE78w")</f>
        <v>https://www.youtube.com/watch?v=hjfnu2KE78w</v>
      </c>
      <c r="D24" s="91" t="s">
        <v>1180</v>
      </c>
      <c r="E24" s="91" t="s">
        <v>1183</v>
      </c>
      <c r="F24" s="91" t="s">
        <v>1185</v>
      </c>
      <c r="G24" s="91" t="s">
        <v>1187</v>
      </c>
      <c r="H24" s="91" t="s">
        <v>1188</v>
      </c>
      <c r="I24" s="91" t="s">
        <v>1189</v>
      </c>
      <c r="J24" s="91" t="s">
        <v>1191</v>
      </c>
      <c r="K24" s="91" t="s">
        <v>1194</v>
      </c>
      <c r="L24" s="91" t="s">
        <v>1195</v>
      </c>
      <c r="M24" s="91" t="s">
        <v>1198</v>
      </c>
      <c r="N24" s="91" t="s">
        <v>1199</v>
      </c>
      <c r="O24" s="87" t="s">
        <v>1200</v>
      </c>
      <c r="P24" s="69" t="s">
        <v>1201</v>
      </c>
      <c r="Q24" s="85" t="s">
        <v>1202</v>
      </c>
      <c r="R24" s="91" t="s">
        <v>1203</v>
      </c>
      <c r="S24" s="91" t="s">
        <v>1204</v>
      </c>
      <c r="T24" s="91" t="s">
        <v>1205</v>
      </c>
      <c r="U24" s="91" t="s">
        <v>1207</v>
      </c>
      <c r="V24" s="91" t="s">
        <v>1209</v>
      </c>
      <c r="W24" s="259"/>
      <c r="X24" s="3"/>
      <c r="Y24" s="3"/>
      <c r="Z24" s="3"/>
    </row>
    <row r="25">
      <c r="A25" s="27"/>
      <c r="B25" s="79"/>
      <c r="C25" s="152" t="s">
        <v>31</v>
      </c>
      <c r="D25" s="152" t="s">
        <v>31</v>
      </c>
      <c r="E25" s="152" t="s">
        <v>31</v>
      </c>
      <c r="F25" s="152" t="s">
        <v>195</v>
      </c>
      <c r="G25" s="98" t="str">
        <f>HYPERLINK("https://drive.google.com/folderview?id=0B0x_dulH5-nEflhVaUJzYXpaM1d4czFFMzFWc1dqYUp3XzVrMkZmd2V1ZlU2Q0RMYWNWemM&amp;usp=sharing","ดาวน์โหลดเอกสารประกอบ")</f>
        <v>ดาวน์โหลดเอกสารประกอบ</v>
      </c>
      <c r="H25" s="152" t="s">
        <v>31</v>
      </c>
      <c r="I25" s="98" t="str">
        <f>HYPERLINK("https://drive.google.com/folderview?id=0B0x_dulH5-nEfjNka0I5ai1Fd1F6NXV6dzhXYTZ1d25vLUo1VXIzS1BMZjZRWWNpeFRMdE0&amp;usp=sharing","ดาวน์โหลดเอกสารประกอบ")</f>
        <v>ดาวน์โหลดเอกสารประกอบ</v>
      </c>
      <c r="J25" s="98" t="str">
        <f>HYPERLINK("https://drive.google.com/folderview?id=0B0x_dulH5-nEfnMzX2VmR1BhRkJCY1VBN3pNOWEtZVd5T2NRbVRuMWRaMHFKcDdVbU5pcTA&amp;usp=sharing","ดาวน์โหลดเอกสารประกอบ")</f>
        <v>ดาวน์โหลดเอกสารประกอบ</v>
      </c>
      <c r="K25" s="152" t="s">
        <v>31</v>
      </c>
      <c r="L25" s="152" t="s">
        <v>31</v>
      </c>
      <c r="M25" s="152" t="s">
        <v>31</v>
      </c>
      <c r="N25" s="152" t="s">
        <v>31</v>
      </c>
      <c r="O25" s="213" t="s">
        <v>31</v>
      </c>
      <c r="P25" s="94" t="s">
        <v>31</v>
      </c>
      <c r="Q25" s="164" t="s">
        <v>31</v>
      </c>
      <c r="R25" s="152" t="s">
        <v>31</v>
      </c>
      <c r="S25" s="152" t="s">
        <v>31</v>
      </c>
      <c r="T25" s="98" t="str">
        <f>HYPERLINK("https://drive.google.com/folderview?id=0B0x_dulH5-nEd2pVSy1XN0xMZmM&amp;usp=sharing","ดาวน์โหลดเอกสารประกอบ")</f>
        <v>ดาวน์โหลดเอกสารประกอบ</v>
      </c>
      <c r="U25" s="98" t="str">
        <f>HYPERLINK("https://drive.google.com/folderview?id=0B0x_dulH5-nERG1jTk5vT0s5U0E&amp;usp=sharing","ดาวน์โหลดเอกสารประกอบ")</f>
        <v>ดาวน์โหลดเอกสารประกอบ</v>
      </c>
      <c r="V25" s="106" t="str">
        <f>HYPERLINK("https://drive.google.com/folderview?id=0B0x_dulH5-nEaTlUYk5ZNmVEdUk&amp;usp=sharing","ดาวน์โหลดเอกสารประกอบ")</f>
        <v>ดาวน์โหลดเอกสารประกอบ</v>
      </c>
      <c r="W25" s="247"/>
      <c r="X25" s="3"/>
      <c r="Y25" s="3"/>
      <c r="Z25" s="3"/>
    </row>
    <row r="26">
      <c r="A26" s="27"/>
      <c r="B26" s="5" t="s">
        <v>3</v>
      </c>
      <c r="C26" s="5" t="s">
        <v>4</v>
      </c>
      <c r="D26" s="12" t="s">
        <v>5</v>
      </c>
      <c r="E26" s="5" t="s">
        <v>6</v>
      </c>
      <c r="F26" s="5" t="s">
        <v>8</v>
      </c>
      <c r="G26" s="5" t="s">
        <v>9</v>
      </c>
      <c r="H26" s="5" t="s">
        <v>10</v>
      </c>
      <c r="I26" s="5" t="s">
        <v>11</v>
      </c>
      <c r="J26" s="5" t="s">
        <v>12</v>
      </c>
      <c r="K26" s="5" t="s">
        <v>13</v>
      </c>
      <c r="L26" s="5" t="s">
        <v>14</v>
      </c>
      <c r="M26" s="5" t="s">
        <v>15</v>
      </c>
      <c r="N26" s="5" t="s">
        <v>16</v>
      </c>
      <c r="O26" s="14" t="s">
        <v>17</v>
      </c>
      <c r="P26" s="5" t="s">
        <v>18</v>
      </c>
      <c r="Q26" s="12" t="s">
        <v>19</v>
      </c>
      <c r="R26" s="5" t="s">
        <v>20</v>
      </c>
      <c r="S26" s="5" t="s">
        <v>21</v>
      </c>
      <c r="T26" s="5" t="s">
        <v>22</v>
      </c>
      <c r="U26" s="5" t="s">
        <v>23</v>
      </c>
      <c r="V26" s="14" t="s">
        <v>24</v>
      </c>
      <c r="W26" s="259"/>
      <c r="X26" s="3"/>
      <c r="Y26" s="3"/>
      <c r="Z26" s="3"/>
    </row>
    <row r="27">
      <c r="A27" s="27"/>
      <c r="B27" s="13" t="s">
        <v>159</v>
      </c>
      <c r="C27" s="19" t="s">
        <v>788</v>
      </c>
      <c r="D27" s="19" t="s">
        <v>788</v>
      </c>
      <c r="E27" s="19" t="s">
        <v>788</v>
      </c>
      <c r="F27" s="19" t="s">
        <v>788</v>
      </c>
      <c r="G27" s="19" t="s">
        <v>788</v>
      </c>
      <c r="H27" s="19" t="s">
        <v>788</v>
      </c>
      <c r="I27" s="19" t="s">
        <v>788</v>
      </c>
      <c r="J27" s="19" t="s">
        <v>788</v>
      </c>
      <c r="K27" s="19" t="s">
        <v>788</v>
      </c>
      <c r="L27" s="19" t="s">
        <v>788</v>
      </c>
      <c r="M27" s="19" t="s">
        <v>788</v>
      </c>
      <c r="N27" s="19" t="s">
        <v>788</v>
      </c>
      <c r="O27" s="139" t="s">
        <v>788</v>
      </c>
      <c r="P27" s="19" t="s">
        <v>788</v>
      </c>
      <c r="Q27" s="140" t="s">
        <v>788</v>
      </c>
      <c r="R27" s="19" t="s">
        <v>788</v>
      </c>
      <c r="S27" s="19" t="s">
        <v>941</v>
      </c>
      <c r="T27" s="19" t="s">
        <v>941</v>
      </c>
      <c r="U27" s="19" t="s">
        <v>941</v>
      </c>
      <c r="V27" s="19" t="s">
        <v>941</v>
      </c>
      <c r="W27" s="3"/>
      <c r="X27" s="3"/>
      <c r="Y27" s="3"/>
      <c r="Z27" s="3"/>
    </row>
    <row r="28" ht="45.0" customHeight="1">
      <c r="A28" s="27"/>
      <c r="B28" s="29"/>
      <c r="C28" s="34" t="str">
        <f>HYPERLINK("https://www.youtube.com/watch?v=2QazaRdb4XY","หน้าที่ของท่อลำเลียงน้ำและอาหาร")</f>
        <v>หน้าที่ของท่อลำเลียงน้ำและอาหาร</v>
      </c>
      <c r="D28" s="39" t="str">
        <f>HYPERLINK("https://www.youtube.com/watch?v=ibLjh9flH7M","โครงสร้างหน้าที่ของท่อลำเลียง")</f>
        <v>โครงสร้างหน้าที่ของท่อลำเลียง</v>
      </c>
      <c r="E28" s="34" t="str">
        <f>HYPERLINK("https://www.youtube.com/watch?v=ibLjh9flH7M","หน้าที่ของใบพืช")</f>
        <v>หน้าที่ของใบพืช</v>
      </c>
      <c r="F28" s="34" t="str">
        <f>HYPERLINK("https://www.youtube.com/watch?v=F_pU7mXlfCM","การคายน้ำของพืช")</f>
        <v>การคายน้ำของพืช</v>
      </c>
      <c r="G28" s="34" t="str">
        <f>HYPERLINK("https://www.youtube.com/watch?v=nFeCMcWikBQ","ลักษณะของปากใบ")</f>
        <v>ลักษณะของปากใบ</v>
      </c>
      <c r="H28" s="55" t="s">
        <v>1272</v>
      </c>
      <c r="I28" s="55" t="s">
        <v>1273</v>
      </c>
      <c r="J28" s="55" t="s">
        <v>1274</v>
      </c>
      <c r="K28" s="46" t="s">
        <v>1275</v>
      </c>
      <c r="L28" s="55" t="s">
        <v>1276</v>
      </c>
      <c r="M28" s="55" t="s">
        <v>1277</v>
      </c>
      <c r="N28" s="55" t="s">
        <v>1279</v>
      </c>
      <c r="O28" s="200" t="s">
        <v>1280</v>
      </c>
      <c r="P28" s="34" t="str">
        <f>HYPERLINK("https://www.youtube.com/watch?v=u9TWzxb3_B0","การตอบสนองของพืชต่อสิ่งเร้า")</f>
        <v>การตอบสนองของพืชต่อสิ่งเร้า</v>
      </c>
      <c r="Q28" s="235" t="str">
        <f>HYPERLINK("https://www.youtube.com/watch?v=zDx4b6joVdw","พฤติกรรมของสัตว์ที่ตอบสนองต่อสิ่งเร้า")</f>
        <v>พฤติกรรมของสัตว์ที่ตอบสนองต่อสิ่งเร้า</v>
      </c>
      <c r="R28" s="39" t="str">
        <f>HYPERLINK("https://www.youtube.com/watch?v=VJY5S0O_jxc","การนำความรู้เกี่ยวกับพฤติกรรมของสัตว์ไปใช้ประโยชน์")</f>
        <v>การนำความรู้เกี่ยวกับพฤติกรรมของสัตว์ไปใช้ประโยชน์</v>
      </c>
      <c r="S28" s="46" t="s">
        <v>1283</v>
      </c>
      <c r="T28" s="46" t="s">
        <v>1284</v>
      </c>
      <c r="U28" s="46" t="s">
        <v>1285</v>
      </c>
      <c r="V28" s="46" t="s">
        <v>1286</v>
      </c>
      <c r="W28" s="3"/>
      <c r="X28" s="3"/>
      <c r="Y28" s="3"/>
      <c r="Z28" s="3"/>
    </row>
    <row r="29">
      <c r="A29" s="27"/>
      <c r="B29" s="29"/>
      <c r="C29" s="10" t="s">
        <v>1287</v>
      </c>
      <c r="D29" s="10" t="s">
        <v>1287</v>
      </c>
      <c r="E29" s="10" t="s">
        <v>1287</v>
      </c>
      <c r="F29" s="10" t="s">
        <v>1287</v>
      </c>
      <c r="G29" s="10" t="s">
        <v>1287</v>
      </c>
      <c r="H29" s="75" t="s">
        <v>1288</v>
      </c>
      <c r="I29" s="75" t="s">
        <v>1288</v>
      </c>
      <c r="J29" s="75" t="s">
        <v>1288</v>
      </c>
      <c r="K29" s="75" t="s">
        <v>1289</v>
      </c>
      <c r="L29" s="75" t="s">
        <v>1290</v>
      </c>
      <c r="M29" s="75" t="s">
        <v>1290</v>
      </c>
      <c r="N29" s="75" t="s">
        <v>1290</v>
      </c>
      <c r="O29" s="202" t="s">
        <v>1290</v>
      </c>
      <c r="P29" s="10" t="s">
        <v>1287</v>
      </c>
      <c r="Q29" s="60" t="s">
        <v>1287</v>
      </c>
      <c r="R29" s="10" t="s">
        <v>1287</v>
      </c>
      <c r="S29" s="75" t="s">
        <v>1289</v>
      </c>
      <c r="T29" s="75" t="s">
        <v>1289</v>
      </c>
      <c r="U29" s="75" t="s">
        <v>1291</v>
      </c>
      <c r="V29" s="75" t="s">
        <v>1291</v>
      </c>
      <c r="W29" s="3"/>
      <c r="X29" s="3"/>
      <c r="Y29" s="3"/>
      <c r="Z29" s="3"/>
    </row>
    <row r="30">
      <c r="A30" s="27"/>
      <c r="B30" s="29"/>
      <c r="C30" s="10" t="s">
        <v>312</v>
      </c>
      <c r="D30" s="10" t="s">
        <v>312</v>
      </c>
      <c r="E30" s="10" t="s">
        <v>312</v>
      </c>
      <c r="F30" s="10" t="s">
        <v>312</v>
      </c>
      <c r="G30" s="10" t="s">
        <v>312</v>
      </c>
      <c r="H30" s="75" t="s">
        <v>1292</v>
      </c>
      <c r="I30" s="75" t="s">
        <v>1292</v>
      </c>
      <c r="J30" s="75" t="s">
        <v>1292</v>
      </c>
      <c r="K30" s="75" t="s">
        <v>1293</v>
      </c>
      <c r="L30" s="31" t="s">
        <v>1294</v>
      </c>
      <c r="M30" s="31" t="s">
        <v>1294</v>
      </c>
      <c r="N30" s="31" t="s">
        <v>1294</v>
      </c>
      <c r="O30" s="264" t="s">
        <v>1294</v>
      </c>
      <c r="P30" s="10" t="s">
        <v>312</v>
      </c>
      <c r="Q30" s="60" t="s">
        <v>312</v>
      </c>
      <c r="R30" s="10" t="s">
        <v>312</v>
      </c>
      <c r="S30" s="75" t="s">
        <v>1293</v>
      </c>
      <c r="T30" s="75" t="s">
        <v>1293</v>
      </c>
      <c r="U30" s="75" t="s">
        <v>1295</v>
      </c>
      <c r="V30" s="75" t="s">
        <v>1295</v>
      </c>
      <c r="W30" s="3"/>
      <c r="X30" s="3"/>
      <c r="Y30" s="3"/>
      <c r="Z30" s="3"/>
    </row>
    <row r="31">
      <c r="A31" s="27"/>
      <c r="B31" s="29"/>
      <c r="C31" s="10" t="s">
        <v>105</v>
      </c>
      <c r="D31" s="10" t="s">
        <v>105</v>
      </c>
      <c r="E31" s="10" t="s">
        <v>105</v>
      </c>
      <c r="F31" s="10" t="s">
        <v>105</v>
      </c>
      <c r="G31" s="10" t="s">
        <v>105</v>
      </c>
      <c r="H31" s="75" t="s">
        <v>1296</v>
      </c>
      <c r="I31" s="75" t="s">
        <v>1296</v>
      </c>
      <c r="J31" s="75" t="s">
        <v>1296</v>
      </c>
      <c r="K31" s="75" t="s">
        <v>1174</v>
      </c>
      <c r="L31" s="75" t="s">
        <v>1175</v>
      </c>
      <c r="M31" s="75" t="s">
        <v>1175</v>
      </c>
      <c r="N31" s="75" t="s">
        <v>1175</v>
      </c>
      <c r="O31" s="202" t="s">
        <v>1175</v>
      </c>
      <c r="P31" s="10" t="s">
        <v>105</v>
      </c>
      <c r="Q31" s="60" t="s">
        <v>105</v>
      </c>
      <c r="R31" s="10" t="s">
        <v>105</v>
      </c>
      <c r="S31" s="75" t="s">
        <v>1174</v>
      </c>
      <c r="T31" s="75" t="s">
        <v>1174</v>
      </c>
      <c r="U31" s="75" t="s">
        <v>477</v>
      </c>
      <c r="V31" s="75" t="s">
        <v>477</v>
      </c>
      <c r="W31" s="3"/>
      <c r="X31" s="3"/>
      <c r="Y31" s="3"/>
      <c r="Z31" s="3"/>
    </row>
    <row r="32">
      <c r="A32" s="27"/>
      <c r="B32" s="29"/>
      <c r="C32" s="91" t="s">
        <v>1297</v>
      </c>
      <c r="D32" s="91" t="s">
        <v>1298</v>
      </c>
      <c r="E32" s="91" t="s">
        <v>1299</v>
      </c>
      <c r="F32" s="91" t="s">
        <v>1301</v>
      </c>
      <c r="G32" s="265" t="s">
        <v>1305</v>
      </c>
      <c r="H32" s="91" t="s">
        <v>1306</v>
      </c>
      <c r="I32" s="91" t="s">
        <v>1307</v>
      </c>
      <c r="J32" s="91" t="s">
        <v>1308</v>
      </c>
      <c r="K32" s="91" t="s">
        <v>1309</v>
      </c>
      <c r="L32" s="91" t="s">
        <v>1310</v>
      </c>
      <c r="M32" s="91" t="s">
        <v>1311</v>
      </c>
      <c r="N32" s="91" t="s">
        <v>1317</v>
      </c>
      <c r="O32" s="87" t="s">
        <v>1320</v>
      </c>
      <c r="P32" s="69" t="s">
        <v>1326</v>
      </c>
      <c r="Q32" s="85" t="s">
        <v>1329</v>
      </c>
      <c r="R32" s="91" t="s">
        <v>1332</v>
      </c>
      <c r="S32" s="91" t="s">
        <v>1337</v>
      </c>
      <c r="T32" s="91" t="s">
        <v>1338</v>
      </c>
      <c r="U32" s="91" t="s">
        <v>1340</v>
      </c>
      <c r="V32" s="91" t="s">
        <v>1343</v>
      </c>
      <c r="W32" s="3"/>
      <c r="X32" s="3"/>
      <c r="Y32" s="3"/>
      <c r="Z32" s="3"/>
    </row>
    <row r="33">
      <c r="A33" s="27"/>
      <c r="B33" s="79"/>
      <c r="C33" s="98" t="str">
        <f>HYPERLINK("https://drive.google.com/folderview?id=0B4mky1MMW8dYflNoZlFzUXFnemVhdG50US16NmpEU1dQajZhempXN25MSGZIcC1BWGFwMTQ&amp;usp=sharing","ดาวน์โหลดเอกสารประกอบ")</f>
        <v>ดาวน์โหลดเอกสารประกอบ</v>
      </c>
      <c r="D33" s="98" t="str">
        <f>HYPERLINK("https://drive.google.com/folderview?id=0B4mky1MMW8dYfkJseUF5azhzaWZTQ0FqVDZGNkVNOGpQMnhUbkZXWXh6TEN0ZllPVkxZeGc&amp;usp=sharing","ดาวน์โหลดเอกสารประกอบ")</f>
        <v>ดาวน์โหลดเอกสารประกอบ</v>
      </c>
      <c r="E33" s="152" t="s">
        <v>31</v>
      </c>
      <c r="F33" s="152" t="s">
        <v>31</v>
      </c>
      <c r="G33" s="98" t="str">
        <f>HYPERLINK("https://drive.google.com/folderview?id=0B4mky1MMW8dYfjZpQXlpWjZkaXJLSWcwOWM3VEt3UGVHRlMxLVZZU0RLTXA4VFQ2MFJfelU&amp;usp=sharing","ดาวน์โหลดเอกสารประกอบ")</f>
        <v>ดาวน์โหลดเอกสารประกอบ</v>
      </c>
      <c r="H33" s="98" t="str">
        <f>HYPERLINK("https://drive.google.com/folderview?id=0B0x_dulH5-nEU051QzB2U0p4ZlE&amp;usp=sharing","ดาวน์โหลดเอกสารประกอบ")</f>
        <v>ดาวน์โหลดเอกสารประกอบ</v>
      </c>
      <c r="I33" s="98" t="str">
        <f>HYPERLINK("https://drive.google.com/folderview?id=0B0x_dulH5-nERWpPMTU0aFpPdG8&amp;usp=sharing","ดาวน์โหลดเอกสารประกอบ")</f>
        <v>ดาวน์โหลดเอกสารประกอบ</v>
      </c>
      <c r="J33" s="98" t="str">
        <f>HYPERLINK("https://drive.google.com/folderview?id=0B0x_dulH5-nEYjAzZkZuajAzTGM&amp;usp=sharing","ดาวน์โหลดเอกสารประกอบ")</f>
        <v>ดาวน์โหลดเอกสารประกอบ</v>
      </c>
      <c r="K33" s="152" t="s">
        <v>31</v>
      </c>
      <c r="L33" s="98" t="str">
        <f>HYPERLINK("https://drive.google.com/folderview?id=0B4mky1MMW8dYfm9ZOGNPMjNEUllHVUdFRVdNaW44RGRaSUgwMC1lQ2pSLU53NzdPLTlrcTg&amp;usp=sharing","ดาวน์โหลดเอกสารประกอบ")</f>
        <v>ดาวน์โหลดเอกสารประกอบ</v>
      </c>
      <c r="M33" s="98" t="str">
        <f>HYPERLINK("https://drive.google.com/folderview?id=0B4mky1MMW8dYfmtwd1FMMGhITHpFTkNsckVlSm5UOGg1SWFweEFpVElkTTc2MUpQekxHcGc&amp;usp=sharing","ดาวน์โหลดเอกสารประกอบ")</f>
        <v>ดาวน์โหลดเอกสารประกอบ</v>
      </c>
      <c r="N33" s="98" t="str">
        <f>HYPERLINK("https://drive.google.com/folderview?id=0B4mky1MMW8dYfldVM1ZLeXByQ3BiNFFzUlNqV0hVSHlNRll4OXBQNTl6MmpMMzllcVZiZTA&amp;usp=sharing","ดาวน์โหลดเอกสารประกอบ")</f>
        <v>ดาวน์โหลดเอกสารประกอบ</v>
      </c>
      <c r="O33" s="106" t="str">
        <f>HYPERLINK("https://drive.google.com/folderview?id=0B4mky1MMW8dYfnc1WU1sQl9sOWk0Q09Dd1Njem9uWGtDOVB0ZjRsSmozR25oM0Fjb0xCVFU&amp;usp=sharing","ดาวน์โหลดเอกสารประกอบ")</f>
        <v>ดาวน์โหลดเอกสารประกอบ</v>
      </c>
      <c r="P33" s="246" t="str">
        <f>HYPERLINK("https://drive.google.com/folderview?id=0B4mky1MMW8dYfmtZS0s4WmRMN085QXZxcXc4NUtZZ3QtRnRUenNHN0ZLZTUyTGlod2M4WXc&amp;usp=sharing","ดาวน์โหลดเอกสารประกอบ")</f>
        <v>ดาวน์โหลดเอกสารประกอบ</v>
      </c>
      <c r="Q33" s="110" t="str">
        <f>HYPERLINK("https://drive.google.com/folderview?id=0B4mky1MMW8dYfjJ2cVllUFdlV0tLVkcwdU9hQ2RLbEVvMWdvclotclpqQzFPdUNiVnNxTDg&amp;usp=sharing","ดาวน์โหลดเอกสารประกอบ")</f>
        <v>ดาวน์โหลดเอกสารประกอบ</v>
      </c>
      <c r="R33" s="98" t="str">
        <f>HYPERLINK("https://drive.google.com/folderview?id=0B4mky1MMW8dYfl9TTjYwQXlFUkxhc3pIT0ZGZnNvSWJCTXZRZVJ6eWRoMmtPd0xONDI4MDA&amp;usp=sharing","ดาวน์โหลดเอกสารประกอบ")</f>
        <v>ดาวน์โหลดเอกสารประกอบ</v>
      </c>
      <c r="S33" s="152" t="s">
        <v>195</v>
      </c>
      <c r="T33" s="152" t="s">
        <v>195</v>
      </c>
      <c r="U33" s="152" t="s">
        <v>31</v>
      </c>
      <c r="V33" s="152" t="s">
        <v>31</v>
      </c>
      <c r="W33" s="3"/>
      <c r="X33" s="3"/>
      <c r="Y33" s="3"/>
      <c r="Z33" s="3"/>
    </row>
    <row r="34">
      <c r="A34" s="27"/>
      <c r="B34" s="5" t="s">
        <v>3</v>
      </c>
      <c r="C34" s="5" t="s">
        <v>4</v>
      </c>
      <c r="D34" s="12" t="s">
        <v>5</v>
      </c>
      <c r="E34" s="5" t="s">
        <v>6</v>
      </c>
      <c r="F34" s="5" t="s">
        <v>8</v>
      </c>
      <c r="G34" s="5" t="s">
        <v>9</v>
      </c>
      <c r="H34" s="5" t="s">
        <v>10</v>
      </c>
      <c r="I34" s="5" t="s">
        <v>11</v>
      </c>
      <c r="J34" s="5" t="s">
        <v>12</v>
      </c>
      <c r="K34" s="5" t="s">
        <v>13</v>
      </c>
      <c r="L34" s="5" t="s">
        <v>14</v>
      </c>
      <c r="M34" s="5" t="s">
        <v>15</v>
      </c>
      <c r="N34" s="5" t="s">
        <v>16</v>
      </c>
      <c r="O34" s="14" t="s">
        <v>17</v>
      </c>
      <c r="P34" s="242" t="s">
        <v>18</v>
      </c>
      <c r="Q34" s="12" t="s">
        <v>19</v>
      </c>
      <c r="R34" s="5" t="s">
        <v>20</v>
      </c>
      <c r="S34" s="5" t="s">
        <v>21</v>
      </c>
      <c r="T34" s="5" t="s">
        <v>22</v>
      </c>
      <c r="U34" s="5" t="s">
        <v>23</v>
      </c>
      <c r="V34" s="5" t="s">
        <v>24</v>
      </c>
      <c r="W34" s="16" t="s">
        <v>25</v>
      </c>
      <c r="X34" s="3"/>
      <c r="Y34" s="3"/>
      <c r="Z34" s="3"/>
    </row>
    <row r="35">
      <c r="A35" s="27"/>
      <c r="B35" s="13" t="s">
        <v>175</v>
      </c>
      <c r="C35" s="19" t="s">
        <v>788</v>
      </c>
      <c r="D35" s="19" t="s">
        <v>788</v>
      </c>
      <c r="E35" s="19" t="s">
        <v>788</v>
      </c>
      <c r="F35" s="19" t="s">
        <v>788</v>
      </c>
      <c r="G35" s="19" t="s">
        <v>788</v>
      </c>
      <c r="H35" s="139" t="s">
        <v>788</v>
      </c>
      <c r="I35" s="21"/>
      <c r="J35" s="21" t="s">
        <v>788</v>
      </c>
      <c r="K35" s="140" t="s">
        <v>788</v>
      </c>
      <c r="L35" s="19" t="s">
        <v>788</v>
      </c>
      <c r="M35" s="19" t="s">
        <v>788</v>
      </c>
      <c r="N35" s="19" t="s">
        <v>788</v>
      </c>
      <c r="O35" s="19" t="s">
        <v>788</v>
      </c>
      <c r="P35" s="249" t="s">
        <v>1428</v>
      </c>
      <c r="Q35" s="141" t="s">
        <v>940</v>
      </c>
      <c r="R35" s="140" t="s">
        <v>1429</v>
      </c>
      <c r="S35" s="21" t="s">
        <v>1429</v>
      </c>
      <c r="T35" s="19" t="s">
        <v>1429</v>
      </c>
      <c r="U35" s="19" t="s">
        <v>1429</v>
      </c>
      <c r="V35" s="141" t="s">
        <v>940</v>
      </c>
      <c r="W35" s="141" t="s">
        <v>1430</v>
      </c>
      <c r="X35" s="3"/>
      <c r="Y35" s="3"/>
      <c r="Z35" s="3"/>
    </row>
    <row r="36" ht="45.0" customHeight="1">
      <c r="A36" s="27"/>
      <c r="B36" s="29"/>
      <c r="C36" s="39" t="str">
        <f>HYPERLINK("https://www.youtube.com/watch?v=nLmWdUW9Yn4","ส่วนประกอบของดอกและหน้าที่ของดอก")</f>
        <v>ส่วนประกอบของดอกและหน้าที่ของดอก</v>
      </c>
      <c r="D36" s="46" t="s">
        <v>1432</v>
      </c>
      <c r="E36" s="46" t="s">
        <v>1435</v>
      </c>
      <c r="F36" s="46" t="s">
        <v>1437</v>
      </c>
      <c r="G36" s="46" t="s">
        <v>1439</v>
      </c>
      <c r="H36" s="44" t="s">
        <v>1441</v>
      </c>
      <c r="I36" s="269" t="s">
        <v>1443</v>
      </c>
      <c r="J36" s="269" t="s">
        <v>1458</v>
      </c>
      <c r="K36" s="48" t="s">
        <v>1459</v>
      </c>
      <c r="L36" s="55" t="s">
        <v>1460</v>
      </c>
      <c r="M36" s="46" t="s">
        <v>1461</v>
      </c>
      <c r="N36" s="55" t="s">
        <v>1462</v>
      </c>
      <c r="O36" s="46" t="s">
        <v>1463</v>
      </c>
      <c r="P36" s="200" t="s">
        <v>1465</v>
      </c>
      <c r="Q36" s="55" t="s">
        <v>1467</v>
      </c>
      <c r="R36" s="48" t="s">
        <v>1468</v>
      </c>
      <c r="S36" s="55" t="s">
        <v>1471</v>
      </c>
      <c r="T36" s="46" t="s">
        <v>1473</v>
      </c>
      <c r="U36" s="46" t="s">
        <v>1474</v>
      </c>
      <c r="V36" s="55" t="s">
        <v>1475</v>
      </c>
      <c r="W36" s="55" t="s">
        <v>1477</v>
      </c>
      <c r="X36" s="3"/>
      <c r="Y36" s="3"/>
      <c r="Z36" s="3"/>
    </row>
    <row r="37">
      <c r="A37" s="27"/>
      <c r="B37" s="29"/>
      <c r="C37" s="10" t="s">
        <v>1478</v>
      </c>
      <c r="D37" s="10" t="s">
        <v>1478</v>
      </c>
      <c r="E37" s="10" t="s">
        <v>1478</v>
      </c>
      <c r="F37" s="10" t="s">
        <v>1478</v>
      </c>
      <c r="G37" s="52" t="s">
        <v>1480</v>
      </c>
      <c r="H37" s="64" t="s">
        <v>1480</v>
      </c>
      <c r="I37" s="75" t="s">
        <v>1482</v>
      </c>
      <c r="J37" s="75" t="s">
        <v>1483</v>
      </c>
      <c r="K37" s="62" t="s">
        <v>1483</v>
      </c>
      <c r="L37" s="75" t="s">
        <v>1483</v>
      </c>
      <c r="M37" s="75" t="s">
        <v>1483</v>
      </c>
      <c r="N37" s="75" t="s">
        <v>1483</v>
      </c>
      <c r="O37" s="75" t="s">
        <v>1483</v>
      </c>
      <c r="P37" s="60" t="s">
        <v>838</v>
      </c>
      <c r="Q37" s="60" t="s">
        <v>838</v>
      </c>
      <c r="R37" s="149" t="s">
        <v>1486</v>
      </c>
      <c r="S37" s="148" t="s">
        <v>1486</v>
      </c>
      <c r="T37" s="75" t="s">
        <v>1487</v>
      </c>
      <c r="U37" s="75" t="s">
        <v>1487</v>
      </c>
      <c r="V37" s="60" t="s">
        <v>838</v>
      </c>
      <c r="W37" s="60" t="s">
        <v>838</v>
      </c>
      <c r="X37" s="3"/>
      <c r="Y37" s="3"/>
      <c r="Z37" s="3"/>
    </row>
    <row r="38">
      <c r="A38" s="27"/>
      <c r="B38" s="29"/>
      <c r="C38" s="10" t="s">
        <v>842</v>
      </c>
      <c r="D38" s="10" t="s">
        <v>842</v>
      </c>
      <c r="E38" s="10" t="s">
        <v>842</v>
      </c>
      <c r="F38" s="10" t="s">
        <v>842</v>
      </c>
      <c r="G38" s="64" t="s">
        <v>1489</v>
      </c>
      <c r="H38" s="64" t="s">
        <v>1489</v>
      </c>
      <c r="I38" s="75" t="s">
        <v>991</v>
      </c>
      <c r="J38" s="75" t="s">
        <v>1490</v>
      </c>
      <c r="K38" s="62" t="s">
        <v>1490</v>
      </c>
      <c r="L38" s="75" t="s">
        <v>1490</v>
      </c>
      <c r="M38" s="75" t="s">
        <v>1490</v>
      </c>
      <c r="N38" s="75" t="s">
        <v>1490</v>
      </c>
      <c r="O38" s="75" t="s">
        <v>1490</v>
      </c>
      <c r="P38" s="60" t="s">
        <v>851</v>
      </c>
      <c r="Q38" s="60" t="s">
        <v>851</v>
      </c>
      <c r="R38" s="62" t="s">
        <v>593</v>
      </c>
      <c r="S38" s="75" t="s">
        <v>593</v>
      </c>
      <c r="T38" s="75" t="s">
        <v>1491</v>
      </c>
      <c r="U38" s="75" t="s">
        <v>1491</v>
      </c>
      <c r="V38" s="60" t="s">
        <v>851</v>
      </c>
      <c r="W38" s="60" t="s">
        <v>851</v>
      </c>
      <c r="X38" s="3"/>
      <c r="Y38" s="3"/>
      <c r="Z38" s="3"/>
    </row>
    <row r="39">
      <c r="A39" s="27"/>
      <c r="B39" s="29"/>
      <c r="C39" s="10" t="s">
        <v>861</v>
      </c>
      <c r="D39" s="10" t="s">
        <v>861</v>
      </c>
      <c r="E39" s="10" t="s">
        <v>861</v>
      </c>
      <c r="F39" s="10" t="s">
        <v>861</v>
      </c>
      <c r="G39" s="52" t="s">
        <v>314</v>
      </c>
      <c r="H39" s="64" t="s">
        <v>314</v>
      </c>
      <c r="I39" s="75" t="s">
        <v>105</v>
      </c>
      <c r="J39" s="75" t="s">
        <v>236</v>
      </c>
      <c r="K39" s="62" t="s">
        <v>236</v>
      </c>
      <c r="L39" s="75" t="s">
        <v>236</v>
      </c>
      <c r="M39" s="75" t="s">
        <v>236</v>
      </c>
      <c r="N39" s="75" t="s">
        <v>236</v>
      </c>
      <c r="O39" s="75" t="s">
        <v>236</v>
      </c>
      <c r="P39" s="60" t="s">
        <v>877</v>
      </c>
      <c r="Q39" s="60" t="s">
        <v>877</v>
      </c>
      <c r="R39" s="62" t="s">
        <v>608</v>
      </c>
      <c r="S39" s="75" t="s">
        <v>608</v>
      </c>
      <c r="T39" s="75" t="s">
        <v>130</v>
      </c>
      <c r="U39" s="75" t="s">
        <v>130</v>
      </c>
      <c r="V39" s="60" t="s">
        <v>877</v>
      </c>
      <c r="W39" s="60" t="s">
        <v>877</v>
      </c>
      <c r="X39" s="3"/>
      <c r="Y39" s="3"/>
      <c r="Z39" s="3"/>
    </row>
    <row r="40">
      <c r="A40" s="27"/>
      <c r="B40" s="29"/>
      <c r="C40" s="91" t="s">
        <v>1495</v>
      </c>
      <c r="D40" s="91" t="s">
        <v>1498</v>
      </c>
      <c r="E40" s="91" t="s">
        <v>1501</v>
      </c>
      <c r="F40" s="91" t="s">
        <v>1504</v>
      </c>
      <c r="G40" s="91" t="s">
        <v>1506</v>
      </c>
      <c r="H40" s="87" t="s">
        <v>1508</v>
      </c>
      <c r="I40" s="270" t="s">
        <v>1510</v>
      </c>
      <c r="J40" s="270" t="s">
        <v>1512</v>
      </c>
      <c r="K40" s="85" t="s">
        <v>1513</v>
      </c>
      <c r="L40" s="91" t="s">
        <v>1514</v>
      </c>
      <c r="M40" s="91" t="s">
        <v>1515</v>
      </c>
      <c r="N40" s="91" t="s">
        <v>1516</v>
      </c>
      <c r="O40" s="91" t="s">
        <v>1517</v>
      </c>
      <c r="P40" s="87" t="s">
        <v>1519</v>
      </c>
      <c r="Q40" s="69" t="s">
        <v>1520</v>
      </c>
      <c r="R40" s="110" t="str">
        <f>HYPERLINK("https://www.youtube.com/watch?v=wqP6cMiFudo","https://www.youtube.com/watch?v=QMFxI2gz7No")</f>
        <v>https://www.youtube.com/watch?v=QMFxI2gz7No</v>
      </c>
      <c r="S40" s="91" t="s">
        <v>1526</v>
      </c>
      <c r="T40" s="91" t="s">
        <v>1528</v>
      </c>
      <c r="U40" s="91" t="s">
        <v>1529</v>
      </c>
      <c r="V40" s="91" t="s">
        <v>1531</v>
      </c>
      <c r="W40" s="91" t="s">
        <v>1532</v>
      </c>
      <c r="X40" s="3"/>
      <c r="Y40" s="3"/>
      <c r="Z40" s="3"/>
    </row>
    <row r="41">
      <c r="A41" s="27"/>
      <c r="B41" s="79"/>
      <c r="C41" s="98" t="str">
        <f>HYPERLINK("https://drive.google.com/folderview?id=0B0x_dulH5-nEQy1OTkpzSUFyb0k&amp;usp=sharing","ดาวน์โหลดเอกสารประกอบ")</f>
        <v>ดาวน์โหลดเอกสารประกอบ</v>
      </c>
      <c r="D41" s="98" t="str">
        <f>HYPERLINK("https://drive.google.com/folderview?id=0B0x_dulH5-nEbUpaZXJ0cDlTYVE&amp;usp=sharing","ดาวน์โหลดเอกสารประกอบ")</f>
        <v>ดาวน์โหลดเอกสารประกอบ</v>
      </c>
      <c r="E41" s="98" t="str">
        <f>HYPERLINK("https://drive.google.com/folderview?id=0B0x_dulH5-nEWF9NRU5Wczc4Vnc&amp;usp=sharing","ดาวน์โหลดเอกสารประกอบ")</f>
        <v>ดาวน์โหลดเอกสารประกอบ</v>
      </c>
      <c r="F41" s="98" t="str">
        <f>HYPERLINK("https://drive.google.com/folderview?id=0B0x_dulH5-nEcjdjM2FpRExxZ2s&amp;usp=sharing","ดาวน์โหลดเอกสารประกอบ")</f>
        <v>ดาวน์โหลดเอกสารประกอบ</v>
      </c>
      <c r="G41" s="152" t="s">
        <v>31</v>
      </c>
      <c r="H41" s="213" t="s">
        <v>31</v>
      </c>
      <c r="I41" s="272" t="s">
        <v>31</v>
      </c>
      <c r="J41" s="272" t="s">
        <v>31</v>
      </c>
      <c r="K41" s="164" t="s">
        <v>31</v>
      </c>
      <c r="L41" s="152" t="s">
        <v>31</v>
      </c>
      <c r="M41" s="152" t="s">
        <v>31</v>
      </c>
      <c r="N41" s="152" t="s">
        <v>31</v>
      </c>
      <c r="O41" s="152" t="s">
        <v>31</v>
      </c>
      <c r="P41" s="213" t="s">
        <v>195</v>
      </c>
      <c r="Q41" s="246" t="str">
        <f>HYPERLINK("https://drive.google.com/folderview?id=0B0x_dulH5-nEZ01IakJScmVFUTQ&amp;usp=sharing","ดาวน์โหลดเอกสารประกอบ")</f>
        <v>ดาวน์โหลดเอกสารประกอบ</v>
      </c>
      <c r="R41" s="110" t="str">
        <f>HYPERLINK("https://drive.google.com/folderview?id=0B4mky1MMW8dYfmJ4YXB4TlBBYnFWWmpfbWxHUC1KVTh3eXB4eHVBRFRzcDBNTy1HbWtQeUk&amp;usp=sharing","ดาวน์โหลดเอกสารประกอบ")</f>
        <v>ดาวน์โหลดเอกสารประกอบ</v>
      </c>
      <c r="S41" s="98" t="str">
        <f>HYPERLINK("https://drive.google.com/folderview?id=0B4mky1MMW8dYfmlBeGt3SmJPWDdPRFV0ZFJYVFl6dmplalI3LXdJY2lDSDFJRUNlV1c4QTg&amp;usp=sharing","ดาวน์โหลดเอกสารประกอบ")</f>
        <v>ดาวน์โหลดเอกสารประกอบ</v>
      </c>
      <c r="T41" s="98" t="str">
        <f>HYPERLINK("https://drive.google.com/folderview?id=0B4mky1MMW8dYfkNDWlhfcXZSbGNxcXRhZDU5UEpQeXFyTG90c2NkT3ZYZFdjU3ptSE5hcHc&amp;usp=sharing","ดาวน์โหลดเอกสารประกอบ")</f>
        <v>ดาวน์โหลดเอกสารประกอบ</v>
      </c>
      <c r="U41" s="98" t="str">
        <f>HYPERLINK("https://drive.google.com/folderview?id=0B4mky1MMW8dYflNDcjFWUUFkZXNjYWNqNkt6OXJmMDBnLUpIdFNHMkhwejdFMGJ0SDVLY2M&amp;usp=sharing","ดาวน์โหลดเอกสารประกอบ")</f>
        <v>ดาวน์โหลดเอกสารประกอบ</v>
      </c>
      <c r="V41" s="98" t="str">
        <f>HYPERLINK("https://drive.google.com/folderview?id=0B0x_dulH5-nENWx0cTB2SE9wUDg&amp;usp=sharing","ดาวน์โหลดเอกสารประกอบ")</f>
        <v>ดาวน์โหลดเอกสารประกอบ</v>
      </c>
      <c r="W41" s="98" t="str">
        <f>HYPERLINK("https://drive.google.com/folderview?id=0B0x_dulH5-nEclp5cUhsMmFBMU0&amp;usp=sharing","ดาวน์โหลดเอกสารประกอบ")</f>
        <v>ดาวน์โหลดเอกสารประกอบ</v>
      </c>
      <c r="X41" s="3"/>
      <c r="Y41" s="3"/>
      <c r="Z41" s="3"/>
    </row>
    <row r="42">
      <c r="A42" s="27"/>
      <c r="B42" s="5" t="s">
        <v>3</v>
      </c>
      <c r="C42" s="5" t="s">
        <v>4</v>
      </c>
      <c r="D42" s="12" t="s">
        <v>5</v>
      </c>
      <c r="E42" s="5" t="s">
        <v>6</v>
      </c>
      <c r="F42" s="5" t="s">
        <v>8</v>
      </c>
      <c r="G42" s="5" t="s">
        <v>9</v>
      </c>
      <c r="H42" s="5" t="s">
        <v>10</v>
      </c>
      <c r="I42" s="117" t="s">
        <v>11</v>
      </c>
      <c r="J42" s="5" t="s">
        <v>12</v>
      </c>
      <c r="K42" s="5" t="s">
        <v>13</v>
      </c>
      <c r="L42" s="5" t="s">
        <v>14</v>
      </c>
      <c r="M42" s="5" t="s">
        <v>15</v>
      </c>
      <c r="N42" s="5" t="s">
        <v>16</v>
      </c>
      <c r="O42" s="14" t="s">
        <v>17</v>
      </c>
      <c r="P42" s="5" t="s">
        <v>18</v>
      </c>
      <c r="Q42" s="12" t="s">
        <v>19</v>
      </c>
      <c r="R42" s="5" t="s">
        <v>20</v>
      </c>
      <c r="S42" s="5" t="s">
        <v>21</v>
      </c>
      <c r="T42" s="5" t="s">
        <v>22</v>
      </c>
      <c r="U42" s="5" t="s">
        <v>23</v>
      </c>
      <c r="V42" s="5" t="s">
        <v>24</v>
      </c>
      <c r="W42" s="3"/>
      <c r="X42" s="3"/>
      <c r="Y42" s="3"/>
      <c r="Z42" s="3"/>
    </row>
    <row r="43">
      <c r="A43" s="27"/>
      <c r="B43" s="13" t="s">
        <v>179</v>
      </c>
      <c r="C43" s="19" t="s">
        <v>788</v>
      </c>
      <c r="D43" s="19" t="s">
        <v>788</v>
      </c>
      <c r="E43" s="19" t="s">
        <v>788</v>
      </c>
      <c r="F43" s="19" t="s">
        <v>788</v>
      </c>
      <c r="G43" s="19"/>
      <c r="H43" s="19" t="s">
        <v>1108</v>
      </c>
      <c r="I43" s="19" t="s">
        <v>1108</v>
      </c>
      <c r="J43" s="19" t="s">
        <v>1109</v>
      </c>
      <c r="K43" s="19" t="s">
        <v>1109</v>
      </c>
      <c r="L43" s="19"/>
      <c r="M43" s="141" t="s">
        <v>1430</v>
      </c>
      <c r="N43" s="141" t="s">
        <v>1430</v>
      </c>
      <c r="O43" s="249" t="s">
        <v>1430</v>
      </c>
      <c r="P43" s="141" t="s">
        <v>941</v>
      </c>
      <c r="Q43" s="141" t="s">
        <v>941</v>
      </c>
      <c r="R43" s="141" t="s">
        <v>941</v>
      </c>
      <c r="S43" s="19" t="s">
        <v>1570</v>
      </c>
      <c r="T43" s="19" t="s">
        <v>1570</v>
      </c>
      <c r="U43" s="19" t="s">
        <v>1570</v>
      </c>
      <c r="V43" s="19" t="s">
        <v>1570</v>
      </c>
      <c r="W43" s="3"/>
      <c r="X43" s="3"/>
      <c r="Y43" s="3"/>
      <c r="Z43" s="3"/>
    </row>
    <row r="44" ht="90.0" customHeight="1">
      <c r="A44" s="27"/>
      <c r="B44" s="29"/>
      <c r="C44" s="39" t="str">
        <f>HYPERLINK("https://www.youtube.com/watch?v=CH0zyWm88b4","ระบบย่อยอาหาร")</f>
        <v>ระบบย่อยอาหาร</v>
      </c>
      <c r="D44" s="39" t="str">
        <f>HYPERLINK("https://www.youtube.com/watch?v=FNj6RBHQ6kw","ระบบหมุนเวียนเลือด")</f>
        <v>ระบบหมุนเวียนเลือด</v>
      </c>
      <c r="E44" s="39" t="str">
        <f>HYPERLINK("https://www.youtube.com/watch?v=AybL-pMm9Ac","ระบบหายใจ")</f>
        <v>ระบบหายใจ</v>
      </c>
      <c r="F44" s="55" t="s">
        <v>1585</v>
      </c>
      <c r="G44" s="46" t="s">
        <v>1586</v>
      </c>
      <c r="H44" s="34" t="str">
        <f>HYPERLINK("https://www.youtube.com/watch?v=2oiMPBvwZGo","ความสัมพันธ์ของสิ่งมีชีวิตกับสิ่งมีชีวิต")</f>
        <v>ความสัมพันธ์ของสิ่งมีชีวิตกับสิ่งมีชีวิต</v>
      </c>
      <c r="I44" s="34" t="str">
        <f>HYPERLINK("https://www.youtube.com/watch?v=uL6OdBGBBQg","การถ่ายทอดพลังงาน ในรูปของโซ่อาหาร และสายใยอาหาร")</f>
        <v>การถ่ายทอดพลังงาน ในรูปของโซ่อาหาร และสายใยอาหาร</v>
      </c>
      <c r="J44" s="55" t="s">
        <v>1600</v>
      </c>
      <c r="K44" s="55" t="s">
        <v>1601</v>
      </c>
      <c r="L44" s="55" t="s">
        <v>1602</v>
      </c>
      <c r="M44" s="55" t="s">
        <v>1603</v>
      </c>
      <c r="N44" s="55" t="s">
        <v>1604</v>
      </c>
      <c r="O44" s="200" t="s">
        <v>1605</v>
      </c>
      <c r="P44" s="55" t="s">
        <v>1606</v>
      </c>
      <c r="Q44" s="276" t="s">
        <v>1607</v>
      </c>
      <c r="R44" s="55" t="s">
        <v>1609</v>
      </c>
      <c r="S44" s="34" t="str">
        <f>HYPERLINK("https://www.youtube.com/watch?v=-qq7gmn1ohA","การเปลี่ยนแปลงสถานะของสาร")</f>
        <v>การเปลี่ยนแปลงสถานะของสาร</v>
      </c>
      <c r="T44" s="34" t="str">
        <f>HYPERLINK("https://www.youtube.com/watch?v=_yj2-ziWePA","สารละลาย")</f>
        <v>สารละลาย</v>
      </c>
      <c r="U44" s="34" t="str">
        <f>HYPERLINK("https://www.youtube.com/watch?v=cBoNEtnFPIw","การเกิดสารใหม่ - ปฏิกิริยาระหว่างน้ำส้มสายชูกับผงฟู - ปฏิกิริยาระหว่างจุนสีกับสารละลายแอมโมเนียหอม")</f>
        <v>การเกิดสารใหม่ - ปฏิกิริยาระหว่างน้ำส้มสายชูกับผงฟู - ปฏิกิริยาระหว่างจุนสีกับสารละลายแอมโมเนียหอม</v>
      </c>
      <c r="V44" s="34" t="str">
        <f>HYPERLINK("https://www.youtube.com/watch?v=5eBUeY_FnCg","การเกิดสารใหม่ - ปฏิกิริยาระหว่างสารละลายผงฟูกับน้ำปูนใส - ปฏิกิริยาระหว่างแอมโมเนียหอมและปูนขาว")</f>
        <v>การเกิดสารใหม่ - ปฏิกิริยาระหว่างสารละลายผงฟูกับน้ำปูนใส - ปฏิกิริยาระหว่างแอมโมเนียหอมและปูนขาว</v>
      </c>
      <c r="W44" s="3"/>
      <c r="X44" s="3"/>
      <c r="Y44" s="3"/>
      <c r="Z44" s="3"/>
    </row>
    <row r="45">
      <c r="A45" s="27"/>
      <c r="B45" s="29"/>
      <c r="C45" s="10" t="s">
        <v>1482</v>
      </c>
      <c r="D45" s="10" t="s">
        <v>1482</v>
      </c>
      <c r="E45" s="10" t="s">
        <v>1482</v>
      </c>
      <c r="F45" s="10" t="s">
        <v>1627</v>
      </c>
      <c r="G45" s="10" t="s">
        <v>1627</v>
      </c>
      <c r="H45" s="10" t="s">
        <v>1482</v>
      </c>
      <c r="I45" s="10" t="s">
        <v>1630</v>
      </c>
      <c r="J45" s="75" t="s">
        <v>1632</v>
      </c>
      <c r="K45" s="75" t="s">
        <v>1632</v>
      </c>
      <c r="L45" s="10" t="s">
        <v>1482</v>
      </c>
      <c r="M45" s="10" t="s">
        <v>1482</v>
      </c>
      <c r="N45" s="10" t="s">
        <v>1482</v>
      </c>
      <c r="O45" s="4" t="s">
        <v>1482</v>
      </c>
      <c r="P45" s="10" t="s">
        <v>1482</v>
      </c>
      <c r="Q45" s="60" t="s">
        <v>1482</v>
      </c>
      <c r="R45" s="10" t="s">
        <v>1482</v>
      </c>
      <c r="S45" s="10" t="s">
        <v>1482</v>
      </c>
      <c r="T45" s="10" t="s">
        <v>1482</v>
      </c>
      <c r="U45" s="10" t="s">
        <v>1630</v>
      </c>
      <c r="V45" s="10" t="s">
        <v>1630</v>
      </c>
      <c r="W45" s="3"/>
      <c r="X45" s="3"/>
      <c r="Y45" s="3"/>
      <c r="Z45" s="3"/>
    </row>
    <row r="46">
      <c r="A46" s="27"/>
      <c r="B46" s="29"/>
      <c r="C46" s="10" t="s">
        <v>991</v>
      </c>
      <c r="D46" s="10" t="s">
        <v>991</v>
      </c>
      <c r="E46" s="10" t="s">
        <v>991</v>
      </c>
      <c r="F46" s="10" t="s">
        <v>763</v>
      </c>
      <c r="G46" s="10" t="s">
        <v>763</v>
      </c>
      <c r="H46" s="10" t="s">
        <v>991</v>
      </c>
      <c r="I46" s="10" t="s">
        <v>1641</v>
      </c>
      <c r="J46" s="75" t="s">
        <v>1643</v>
      </c>
      <c r="K46" s="75" t="s">
        <v>1643</v>
      </c>
      <c r="L46" s="10" t="s">
        <v>991</v>
      </c>
      <c r="M46" s="10" t="s">
        <v>991</v>
      </c>
      <c r="N46" s="10" t="s">
        <v>991</v>
      </c>
      <c r="O46" s="4" t="s">
        <v>991</v>
      </c>
      <c r="P46" s="10" t="s">
        <v>991</v>
      </c>
      <c r="Q46" s="60" t="s">
        <v>991</v>
      </c>
      <c r="R46" s="10" t="s">
        <v>991</v>
      </c>
      <c r="S46" s="10" t="s">
        <v>991</v>
      </c>
      <c r="T46" s="10" t="s">
        <v>991</v>
      </c>
      <c r="U46" s="10" t="s">
        <v>1641</v>
      </c>
      <c r="V46" s="10" t="s">
        <v>1641</v>
      </c>
      <c r="W46" s="3"/>
      <c r="X46" s="3"/>
      <c r="Y46" s="3"/>
      <c r="Z46" s="3"/>
    </row>
    <row r="47">
      <c r="A47" s="27"/>
      <c r="B47" s="29"/>
      <c r="C47" s="10" t="s">
        <v>105</v>
      </c>
      <c r="D47" s="10" t="s">
        <v>105</v>
      </c>
      <c r="E47" s="10" t="s">
        <v>105</v>
      </c>
      <c r="F47" s="10" t="s">
        <v>105</v>
      </c>
      <c r="G47" s="10" t="s">
        <v>105</v>
      </c>
      <c r="H47" s="10" t="s">
        <v>105</v>
      </c>
      <c r="I47" s="10" t="s">
        <v>1650</v>
      </c>
      <c r="J47" s="75" t="s">
        <v>1651</v>
      </c>
      <c r="K47" s="75" t="s">
        <v>1651</v>
      </c>
      <c r="L47" s="10" t="s">
        <v>105</v>
      </c>
      <c r="M47" s="10" t="s">
        <v>105</v>
      </c>
      <c r="N47" s="10" t="s">
        <v>105</v>
      </c>
      <c r="O47" s="4" t="s">
        <v>105</v>
      </c>
      <c r="P47" s="10" t="s">
        <v>105</v>
      </c>
      <c r="Q47" s="60" t="s">
        <v>105</v>
      </c>
      <c r="R47" s="10" t="s">
        <v>105</v>
      </c>
      <c r="S47" s="10" t="s">
        <v>105</v>
      </c>
      <c r="T47" s="10" t="s">
        <v>105</v>
      </c>
      <c r="U47" s="10" t="s">
        <v>1650</v>
      </c>
      <c r="V47" s="10" t="s">
        <v>1650</v>
      </c>
      <c r="W47" s="3"/>
      <c r="X47" s="3"/>
      <c r="Y47" s="3"/>
      <c r="Z47" s="3"/>
    </row>
    <row r="48">
      <c r="A48" s="27"/>
      <c r="B48" s="29"/>
      <c r="C48" s="91" t="s">
        <v>1656</v>
      </c>
      <c r="D48" s="98" t="str">
        <f>HYPERLINK("https://www.youtube.com/watch?v=FNj6RBHQ6kw","https://www.youtube.com/watch?v=AybL-pMm9Ac")</f>
        <v>https://www.youtube.com/watch?v=AybL-pMm9Ac</v>
      </c>
      <c r="E48" s="98" t="str">
        <f>HYPERLINK("https://www.youtube.com/watch?v=AybL-pMm9Ac","https://www.youtube.com/watch?v=FNj6RBHQ6kw")</f>
        <v>https://www.youtube.com/watch?v=FNj6RBHQ6kw</v>
      </c>
      <c r="F48" s="245" t="s">
        <v>1664</v>
      </c>
      <c r="G48" s="91" t="s">
        <v>1665</v>
      </c>
      <c r="H48" s="91" t="s">
        <v>1666</v>
      </c>
      <c r="I48" s="91" t="s">
        <v>1668</v>
      </c>
      <c r="J48" s="91" t="s">
        <v>1670</v>
      </c>
      <c r="K48" s="91" t="s">
        <v>1672</v>
      </c>
      <c r="L48" s="91" t="s">
        <v>1673</v>
      </c>
      <c r="M48" s="91" t="s">
        <v>1676</v>
      </c>
      <c r="N48" s="91" t="s">
        <v>1678</v>
      </c>
      <c r="O48" s="87" t="s">
        <v>1680</v>
      </c>
      <c r="P48" s="69" t="s">
        <v>1681</v>
      </c>
      <c r="Q48" s="85" t="s">
        <v>1682</v>
      </c>
      <c r="R48" s="91" t="s">
        <v>1684</v>
      </c>
      <c r="S48" s="91" t="s">
        <v>1685</v>
      </c>
      <c r="T48" s="91" t="s">
        <v>1687</v>
      </c>
      <c r="U48" s="91" t="s">
        <v>1689</v>
      </c>
      <c r="V48" s="91" t="s">
        <v>1691</v>
      </c>
      <c r="W48" s="3"/>
      <c r="X48" s="3"/>
      <c r="Y48" s="3"/>
      <c r="Z48" s="3"/>
    </row>
    <row r="49">
      <c r="A49" s="27"/>
      <c r="B49" s="79"/>
      <c r="C49" s="98" t="str">
        <f>HYPERLINK("https://drive.google.com/folderview?id=0BydHLJgPtYsXfjkxSkI3MDVEM0J6SV9pam9RRFQtc29KUFZwWnFwSWpBblVkNF9qMjdDNGM&amp;usp=sharing","ดาวน์โหลดเอกสารประกอบ")</f>
        <v>ดาวน์โหลดเอกสารประกอบ</v>
      </c>
      <c r="D49" s="98" t="str">
        <f>HYPERLINK("https://drive.google.com/folderview?id=0BydHLJgPtYsXfnRZckVzSWRmWkpobzlxQjNlNElvZUZtTlBaZDBmVktnSkJ5aWtIcjN1Rjg&amp;usp=sharing","ดาวน์โหลดเอกสารประกอบ")</f>
        <v>ดาวน์โหลดเอกสารประกอบ</v>
      </c>
      <c r="E49" s="98" t="str">
        <f>HYPERLINK("https://drive.google.com/folderview?id=0BydHLJgPtYsXfnA4MmFTMnNvTkRVOEVMbnVkVUVxODY5UmZwR2ZJU00zVm1JbE10Rl9KNDQ&amp;usp=sharing","ดาวน์โหลดเอกสารประกอบ")</f>
        <v>ดาวน์โหลดเอกสารประกอบ</v>
      </c>
      <c r="F49" s="94" t="s">
        <v>31</v>
      </c>
      <c r="G49" s="152" t="s">
        <v>195</v>
      </c>
      <c r="H49" s="98" t="str">
        <f>HYPERLINK("https://drive.google.com/folderview?id=0BydHLJgPtYsXfjlVdVowZE91bC1uSEt0UFdrUVNmUi1uRWlhd0NURFhIY3U0OVhFcnhTb1E&amp;usp=sharing","ดาวน์โหลดเอกสารประกอบ")</f>
        <v>ดาวน์โหลดเอกสารประกอบ</v>
      </c>
      <c r="I49" s="152" t="s">
        <v>195</v>
      </c>
      <c r="J49" s="98" t="str">
        <f>HYPERLINK("https://drive.google.com/folderview?id=0B4mky1MMW8dYflZMNThWaVd2ckhjRVI1akpNUVdablluZU9FYjZZVHBhUW5vdlREcU80TWc&amp;usp=sharing","ดาวน์โหลดเอกสารประกอบ")</f>
        <v>ดาวน์โหลดเอกสารประกอบ</v>
      </c>
      <c r="K49" s="98" t="str">
        <f>HYPERLINK("https://drive.google.com/folderview?id=0B4mky1MMW8dYfmgyWkx3RTZKbWtzM1pqTWRaeE8yd2FlTktCWFNwbEJhZFBacXIyREF1a28&amp;usp=sharing","ดาวน์โหลดเอกสารประกอบ")</f>
        <v>ดาวน์โหลดเอกสารประกอบ</v>
      </c>
      <c r="L49" s="98" t="str">
        <f>HYPERLINK("https://drive.google.com/folderview?id=0BxI2QWxfwdKvQU4wYTFjMEhjcGM&amp;usp=sharing","ดาวน์โหลดเอกสารประกอบ")</f>
        <v>ดาวน์โหลดเอกสารประกอบ</v>
      </c>
      <c r="M49" s="98" t="str">
        <f>HYPERLINK("https://drive.google.com/folderview?id=0BxI2QWxfwdKvOHlKckNZOS01ekE&amp;usp=sharing","ดาวน์โหลดเอกสารประกอบ")</f>
        <v>ดาวน์โหลดเอกสารประกอบ</v>
      </c>
      <c r="N49" s="98" t="str">
        <f>HYPERLINK("https://drive.google.com/folderview?id=0BxI2QWxfwdKvaHlaVTNiaVFtc0k&amp;usp=sharing","ดาวน์โหลดเอกสารประกอบ")</f>
        <v>ดาวน์โหลดเอกสารประกอบ</v>
      </c>
      <c r="O49" s="106" t="str">
        <f>HYPERLINK("https://drive.google.com/folderview?id=0BxI2QWxfwdKvNE9IZWJZMzdENGc&amp;usp=sharing","ดาวน์โหลดเอกสารประกอบ")</f>
        <v>ดาวน์โหลดเอกสารประกอบ</v>
      </c>
      <c r="P49" s="83" t="str">
        <f>HYPERLINK("https://drive.google.com/folderview?id=0BxI2QWxfwdKvemxDREZId2Zhb0k&amp;usp=sharing","ดาวน์โหลดเอกสารประกอบ")</f>
        <v>ดาวน์โหลดเอกสารประกอบ</v>
      </c>
      <c r="Q49" s="110" t="str">
        <f>HYPERLINK("https://drive.google.com/folderview?id=0BxI2QWxfwdKva195ejRISFJrN3M&amp;usp=sharing","ดาวน์โหลดเอกสารประกอบ")</f>
        <v>ดาวน์โหลดเอกสารประกอบ</v>
      </c>
      <c r="R49" s="98" t="str">
        <f>HYPERLINK("https://drive.google.com/folderview?id=0BxI2QWxfwdKvbWZhTlFXNEE4dzQ&amp;usp=sharing","ดาวน์โหลดเอกสารประกอบ")</f>
        <v>ดาวน์โหลดเอกสารประกอบ</v>
      </c>
      <c r="S49" s="98" t="str">
        <f>HYPERLINK("https://drive.google.com/folderview?id=0BydHLJgPtYsXflNCdDhxN3dBNTZET2NvbmJZLWxqa2lrbEhmMmxjeTNzQ2lHWmtRR1JFRDQ&amp;usp=sharing","ดาวน์โหลดเอกสารประกอบ")</f>
        <v>ดาวน์โหลดเอกสารประกอบ</v>
      </c>
      <c r="T49" s="98" t="str">
        <f>HYPERLINK("https://drive.google.com/folderview?id=0BydHLJgPtYsXfmo4YUVhNHg0REZnTHNqUnYySmN6b0pQYUVlWDJlTDJNZ2Y3bW4tTl9hU3c&amp;usp=sharing","ดาวน์โหลดเอกสารประกอบ")</f>
        <v>ดาวน์โหลดเอกสารประกอบ</v>
      </c>
      <c r="U49" s="98" t="str">
        <f>HYPERLINK("https://drive.google.com/folderview?id=0B0x_dulH5-nET3hkMERzMkhKLTA&amp;usp=sharing","ดาวน์โหลดเอกสารประกอบ")</f>
        <v>ดาวน์โหลดเอกสารประกอบ</v>
      </c>
      <c r="V49" s="98" t="str">
        <f>HYPERLINK("https://drive.google.com/folderview?id=0B0x_dulH5-nEd2pqTlBGWnRXS1E&amp;usp=sharing","ดาวน์โหลดเอกสารประกอบ")</f>
        <v>ดาวน์โหลดเอกสารประกอบ</v>
      </c>
      <c r="W49" s="3"/>
      <c r="X49" s="3"/>
      <c r="Y49" s="3"/>
      <c r="Z49" s="3"/>
    </row>
    <row r="50">
      <c r="A50" s="27"/>
      <c r="B50" s="5" t="s">
        <v>3</v>
      </c>
      <c r="C50" s="5" t="s">
        <v>4</v>
      </c>
      <c r="D50" s="12" t="s">
        <v>5</v>
      </c>
      <c r="E50" s="5" t="s">
        <v>6</v>
      </c>
      <c r="F50" s="5" t="s">
        <v>8</v>
      </c>
      <c r="G50" s="5" t="s">
        <v>9</v>
      </c>
      <c r="H50" s="5" t="s">
        <v>10</v>
      </c>
      <c r="I50" s="5" t="s">
        <v>11</v>
      </c>
      <c r="J50" s="5" t="s">
        <v>12</v>
      </c>
      <c r="K50" s="5" t="s">
        <v>13</v>
      </c>
      <c r="L50" s="5" t="s">
        <v>14</v>
      </c>
      <c r="M50" s="5" t="s">
        <v>15</v>
      </c>
      <c r="N50" s="5" t="s">
        <v>16</v>
      </c>
      <c r="O50" s="14" t="s">
        <v>17</v>
      </c>
      <c r="P50" s="242" t="s">
        <v>18</v>
      </c>
      <c r="Q50" s="12" t="s">
        <v>19</v>
      </c>
      <c r="R50" s="5" t="s">
        <v>20</v>
      </c>
      <c r="S50" s="5" t="s">
        <v>21</v>
      </c>
      <c r="T50" s="5" t="s">
        <v>22</v>
      </c>
      <c r="U50" s="5" t="s">
        <v>23</v>
      </c>
      <c r="V50" s="5" t="s">
        <v>24</v>
      </c>
      <c r="W50" s="3"/>
      <c r="X50" s="3"/>
      <c r="Y50" s="3"/>
      <c r="Z50" s="3"/>
    </row>
    <row r="51">
      <c r="A51" s="27"/>
      <c r="B51" s="248" t="s">
        <v>184</v>
      </c>
      <c r="C51" s="19" t="s">
        <v>1743</v>
      </c>
      <c r="D51" s="19" t="s">
        <v>1743</v>
      </c>
      <c r="E51" s="19" t="s">
        <v>1743</v>
      </c>
      <c r="F51" s="19" t="s">
        <v>1743</v>
      </c>
      <c r="G51" s="19" t="s">
        <v>1743</v>
      </c>
      <c r="H51" s="19" t="s">
        <v>1743</v>
      </c>
      <c r="I51" s="19" t="s">
        <v>1743</v>
      </c>
      <c r="J51" s="19" t="s">
        <v>1743</v>
      </c>
      <c r="K51" s="19" t="s">
        <v>1743</v>
      </c>
      <c r="L51" s="19" t="s">
        <v>1570</v>
      </c>
      <c r="M51" s="19" t="s">
        <v>1570</v>
      </c>
      <c r="N51" s="19" t="s">
        <v>1570</v>
      </c>
      <c r="O51" s="139" t="s">
        <v>1570</v>
      </c>
      <c r="P51" s="19" t="s">
        <v>1570</v>
      </c>
      <c r="Q51" s="140" t="s">
        <v>1570</v>
      </c>
      <c r="R51" s="19" t="s">
        <v>1570</v>
      </c>
      <c r="S51" s="19" t="s">
        <v>1430</v>
      </c>
      <c r="T51" s="19" t="s">
        <v>1430</v>
      </c>
      <c r="U51" s="19" t="s">
        <v>1430</v>
      </c>
      <c r="V51" s="19" t="s">
        <v>1430</v>
      </c>
      <c r="W51" s="3"/>
      <c r="X51" s="3"/>
      <c r="Y51" s="3"/>
      <c r="Z51" s="3"/>
    </row>
    <row r="52" ht="45.0" customHeight="1">
      <c r="A52" s="27"/>
      <c r="B52" s="29"/>
      <c r="C52" s="34" t="str">
        <f>HYPERLINK("https://www.youtube.com/watch?v=JSohiMX4uiY","สารเนื้อเดียว สารเนื้อผสม")</f>
        <v>สารเนื้อเดียว สารเนื้อผสม</v>
      </c>
      <c r="D52" s="34" t="str">
        <f>HYPERLINK("https://www.youtube.com/watch?v=bYBWhXm6CY4","การจัดกลุ่มสารตามลักษณะเนื้อสารและขนาดของอนุภาค ตอน 1")</f>
        <v>การจัดกลุ่มสารตามลักษณะเนื้อสารและขนาดของอนุภาค ตอน 1</v>
      </c>
      <c r="E52" s="34" t="str">
        <f>HYPERLINK("https://www.youtube.com/watch?v=qiPmcNPU9Kk","การจัดกลุ่มสารตามลักษณะเนื้อสารและขนาดของอนุภาค ตอน 2")</f>
        <v>การจัดกลุ่มสารตามลักษณะเนื้อสารและขนาดของอนุภาค ตอน 2</v>
      </c>
      <c r="F52" s="34" t="str">
        <f>HYPERLINK("https://www.youtube.com/watch?v=kUXxbLD12bQ","การจัดเรียงอนุภาคของสาร")</f>
        <v>การจัดเรียงอนุภาคของสาร</v>
      </c>
      <c r="G52" s="34" t="str">
        <f>HYPERLINK("https://www.youtube.com/watch?v=A4j3ADvodGU","อุณหภูมิกับการเปลี่ยนแปลงสถานะ")</f>
        <v>อุณหภูมิกับการเปลี่ยนแปลงสถานะ</v>
      </c>
      <c r="H52" s="34" t="str">
        <f>HYPERLINK("https://www.youtube.com/watch?v=gfCFfjlPXa4","การตรวจสอบความเป็นกรดเบสของสารละลาย")</f>
        <v>การตรวจสอบความเป็นกรดเบสของสารละลาย</v>
      </c>
      <c r="I52" s="34" t="str">
        <f>HYPERLINK("https://www.youtube.com/watch?v=CWiu9LpH_4A","สมบัติบางประการของสารละลายกรด และสายละลายเบส")</f>
        <v>สมบัติบางประการของสารละลายกรด และสายละลายเบส</v>
      </c>
      <c r="J52" s="34" t="str">
        <f>HYPERLINK("https://www.youtube.com/watch?v=eCjujtMyjtM","pH ของสารละลายกรดและเบส")</f>
        <v>pH ของสารละลายกรดและเบส</v>
      </c>
      <c r="K52" s="46" t="s">
        <v>1761</v>
      </c>
      <c r="L52" s="46" t="s">
        <v>1762</v>
      </c>
      <c r="M52" s="46" t="s">
        <v>1763</v>
      </c>
      <c r="N52" s="46" t="s">
        <v>1764</v>
      </c>
      <c r="O52" s="200" t="s">
        <v>1765</v>
      </c>
      <c r="P52" s="55" t="s">
        <v>1766</v>
      </c>
      <c r="Q52" s="42" t="s">
        <v>1767</v>
      </c>
      <c r="R52" s="46" t="s">
        <v>1768</v>
      </c>
      <c r="S52" s="46" t="s">
        <v>1769</v>
      </c>
      <c r="T52" s="46" t="s">
        <v>1770</v>
      </c>
      <c r="U52" s="46" t="s">
        <v>1771</v>
      </c>
      <c r="V52" s="46" t="s">
        <v>1772</v>
      </c>
      <c r="W52" s="3"/>
      <c r="X52" s="3"/>
      <c r="Y52" s="3"/>
      <c r="Z52" s="3"/>
    </row>
    <row r="53">
      <c r="A53" s="27"/>
      <c r="B53" s="29"/>
      <c r="C53" s="10" t="s">
        <v>1773</v>
      </c>
      <c r="D53" s="10" t="s">
        <v>1773</v>
      </c>
      <c r="E53" s="10" t="s">
        <v>1773</v>
      </c>
      <c r="F53" s="10" t="s">
        <v>1773</v>
      </c>
      <c r="G53" s="10" t="s">
        <v>1773</v>
      </c>
      <c r="H53" s="10" t="s">
        <v>1773</v>
      </c>
      <c r="I53" s="10" t="s">
        <v>1773</v>
      </c>
      <c r="J53" s="10" t="s">
        <v>1773</v>
      </c>
      <c r="K53" s="75" t="s">
        <v>1774</v>
      </c>
      <c r="L53" s="75" t="s">
        <v>1774</v>
      </c>
      <c r="M53" s="75" t="s">
        <v>1774</v>
      </c>
      <c r="N53" s="75" t="s">
        <v>1774</v>
      </c>
      <c r="O53" s="202" t="s">
        <v>1775</v>
      </c>
      <c r="P53" s="75" t="s">
        <v>1775</v>
      </c>
      <c r="Q53" s="62" t="s">
        <v>1776</v>
      </c>
      <c r="R53" s="62" t="s">
        <v>1776</v>
      </c>
      <c r="S53" s="62" t="s">
        <v>1776</v>
      </c>
      <c r="T53" s="62" t="s">
        <v>1776</v>
      </c>
      <c r="U53" s="62" t="s">
        <v>1776</v>
      </c>
      <c r="V53" s="62" t="s">
        <v>1776</v>
      </c>
      <c r="W53" s="3"/>
      <c r="X53" s="3"/>
      <c r="Y53" s="3"/>
      <c r="Z53" s="3"/>
    </row>
    <row r="54">
      <c r="A54" s="27"/>
      <c r="B54" s="29"/>
      <c r="C54" s="10" t="s">
        <v>1777</v>
      </c>
      <c r="D54" s="10" t="s">
        <v>1777</v>
      </c>
      <c r="E54" s="10" t="s">
        <v>1777</v>
      </c>
      <c r="F54" s="10" t="s">
        <v>1777</v>
      </c>
      <c r="G54" s="10" t="s">
        <v>1777</v>
      </c>
      <c r="H54" s="10" t="s">
        <v>1777</v>
      </c>
      <c r="I54" s="10" t="s">
        <v>1777</v>
      </c>
      <c r="J54" s="10" t="s">
        <v>1777</v>
      </c>
      <c r="K54" s="75" t="s">
        <v>1778</v>
      </c>
      <c r="L54" s="75" t="s">
        <v>1778</v>
      </c>
      <c r="M54" s="75" t="s">
        <v>1778</v>
      </c>
      <c r="N54" s="75" t="s">
        <v>1778</v>
      </c>
      <c r="O54" s="202" t="s">
        <v>1779</v>
      </c>
      <c r="P54" s="75" t="s">
        <v>1779</v>
      </c>
      <c r="Q54" s="62" t="s">
        <v>1780</v>
      </c>
      <c r="R54" s="62" t="s">
        <v>1780</v>
      </c>
      <c r="S54" s="62" t="s">
        <v>1780</v>
      </c>
      <c r="T54" s="62" t="s">
        <v>1780</v>
      </c>
      <c r="U54" s="62" t="s">
        <v>1780</v>
      </c>
      <c r="V54" s="62" t="s">
        <v>1780</v>
      </c>
      <c r="W54" s="3"/>
      <c r="X54" s="3"/>
      <c r="Y54" s="3"/>
      <c r="Z54" s="3"/>
    </row>
    <row r="55">
      <c r="A55" s="27"/>
      <c r="B55" s="29"/>
      <c r="C55" s="10" t="s">
        <v>128</v>
      </c>
      <c r="D55" s="10" t="s">
        <v>128</v>
      </c>
      <c r="E55" s="10" t="s">
        <v>128</v>
      </c>
      <c r="F55" s="10" t="s">
        <v>128</v>
      </c>
      <c r="G55" s="10" t="s">
        <v>128</v>
      </c>
      <c r="H55" s="10" t="s">
        <v>128</v>
      </c>
      <c r="I55" s="10" t="s">
        <v>128</v>
      </c>
      <c r="J55" s="10" t="s">
        <v>128</v>
      </c>
      <c r="K55" s="75" t="s">
        <v>1404</v>
      </c>
      <c r="L55" s="75" t="s">
        <v>1404</v>
      </c>
      <c r="M55" s="75" t="s">
        <v>1404</v>
      </c>
      <c r="N55" s="75" t="s">
        <v>1404</v>
      </c>
      <c r="O55" s="202" t="s">
        <v>1403</v>
      </c>
      <c r="P55" s="75" t="s">
        <v>1403</v>
      </c>
      <c r="Q55" s="62" t="s">
        <v>1608</v>
      </c>
      <c r="R55" s="62" t="s">
        <v>1608</v>
      </c>
      <c r="S55" s="62" t="s">
        <v>1608</v>
      </c>
      <c r="T55" s="62" t="s">
        <v>1608</v>
      </c>
      <c r="U55" s="62" t="s">
        <v>1608</v>
      </c>
      <c r="V55" s="62" t="s">
        <v>1608</v>
      </c>
      <c r="W55" s="3"/>
      <c r="X55" s="3"/>
      <c r="Y55" s="3"/>
      <c r="Z55" s="3"/>
    </row>
    <row r="56">
      <c r="A56" s="27"/>
      <c r="B56" s="29"/>
      <c r="C56" s="91" t="s">
        <v>1781</v>
      </c>
      <c r="D56" s="91" t="s">
        <v>1782</v>
      </c>
      <c r="E56" s="91" t="s">
        <v>1783</v>
      </c>
      <c r="F56" s="91" t="s">
        <v>1784</v>
      </c>
      <c r="G56" s="91" t="s">
        <v>1785</v>
      </c>
      <c r="H56" s="91" t="s">
        <v>1786</v>
      </c>
      <c r="I56" s="91" t="s">
        <v>1787</v>
      </c>
      <c r="J56" s="91" t="s">
        <v>1788</v>
      </c>
      <c r="K56" s="91" t="s">
        <v>1789</v>
      </c>
      <c r="L56" s="91" t="s">
        <v>1790</v>
      </c>
      <c r="M56" s="91" t="s">
        <v>1791</v>
      </c>
      <c r="N56" s="91" t="s">
        <v>1792</v>
      </c>
      <c r="O56" s="87" t="s">
        <v>1793</v>
      </c>
      <c r="P56" s="69" t="s">
        <v>1794</v>
      </c>
      <c r="Q56" s="85" t="s">
        <v>1795</v>
      </c>
      <c r="R56" s="91" t="s">
        <v>1796</v>
      </c>
      <c r="S56" s="91" t="s">
        <v>1797</v>
      </c>
      <c r="T56" s="91" t="s">
        <v>1798</v>
      </c>
      <c r="U56" s="91" t="s">
        <v>1799</v>
      </c>
      <c r="V56" s="91" t="s">
        <v>1800</v>
      </c>
      <c r="W56" s="3"/>
      <c r="X56" s="3"/>
      <c r="Y56" s="3"/>
      <c r="Z56" s="3"/>
    </row>
    <row r="57">
      <c r="A57" s="27"/>
      <c r="B57" s="79"/>
      <c r="C57" s="152" t="s">
        <v>31</v>
      </c>
      <c r="D57" s="152" t="s">
        <v>31</v>
      </c>
      <c r="E57" s="152" t="s">
        <v>31</v>
      </c>
      <c r="F57" s="152" t="s">
        <v>31</v>
      </c>
      <c r="G57" s="152" t="s">
        <v>31</v>
      </c>
      <c r="H57" s="152" t="s">
        <v>31</v>
      </c>
      <c r="I57" s="152" t="s">
        <v>31</v>
      </c>
      <c r="J57" s="152" t="s">
        <v>31</v>
      </c>
      <c r="K57" s="152" t="s">
        <v>31</v>
      </c>
      <c r="L57" s="152" t="s">
        <v>31</v>
      </c>
      <c r="M57" s="152" t="s">
        <v>31</v>
      </c>
      <c r="N57" s="152" t="s">
        <v>31</v>
      </c>
      <c r="O57" s="106" t="str">
        <f>HYPERLINK("https://drive.google.com/folderview?id=0B0x_dulH5-nEfnlnbTk0QWdSQ1M2SU5sTlpCMWdncFgwQWtETmM3S3Y1TU1mdEktZGxwUWM&amp;usp=sharing","ดาวน์โหลดเอกสารประกอบ")</f>
        <v>ดาวน์โหลดเอกสารประกอบ</v>
      </c>
      <c r="P57" s="246" t="str">
        <f>HYPERLINK("https://drive.google.com/folderview?id=0B0x_dulH5-nEfmNKQmNaNjF6QjMyVktLbFFTbTBsaWJxSEZRa1gtdXVOUU5RUlBYbl9tc2c&amp;usp=sharing","ดาวน์โหลดเอกสารประกอบ")</f>
        <v>ดาวน์โหลดเอกสารประกอบ</v>
      </c>
      <c r="Q57" s="164" t="s">
        <v>31</v>
      </c>
      <c r="R57" s="152" t="s">
        <v>31</v>
      </c>
      <c r="S57" s="152" t="s">
        <v>31</v>
      </c>
      <c r="T57" s="152" t="s">
        <v>31</v>
      </c>
      <c r="U57" s="152" t="s">
        <v>31</v>
      </c>
      <c r="V57" s="152" t="s">
        <v>31</v>
      </c>
      <c r="W57" s="3"/>
      <c r="X57" s="3"/>
      <c r="Y57" s="3"/>
      <c r="Z57" s="3"/>
    </row>
    <row r="58">
      <c r="A58" s="27"/>
      <c r="B58" s="5" t="s">
        <v>3</v>
      </c>
      <c r="C58" s="5" t="s">
        <v>4</v>
      </c>
      <c r="D58" s="12" t="s">
        <v>5</v>
      </c>
      <c r="E58" s="5" t="s">
        <v>6</v>
      </c>
      <c r="F58" s="5" t="s">
        <v>8</v>
      </c>
      <c r="G58" s="5" t="s">
        <v>9</v>
      </c>
      <c r="H58" s="5" t="s">
        <v>10</v>
      </c>
      <c r="I58" s="5" t="s">
        <v>11</v>
      </c>
      <c r="J58" s="5" t="s">
        <v>12</v>
      </c>
      <c r="K58" s="5" t="s">
        <v>13</v>
      </c>
      <c r="L58" s="5" t="s">
        <v>14</v>
      </c>
      <c r="M58" s="5" t="s">
        <v>15</v>
      </c>
      <c r="N58" s="5" t="s">
        <v>16</v>
      </c>
      <c r="O58" s="14" t="s">
        <v>17</v>
      </c>
      <c r="P58" s="242" t="s">
        <v>18</v>
      </c>
      <c r="Q58" s="12" t="s">
        <v>19</v>
      </c>
      <c r="R58" s="5" t="s">
        <v>20</v>
      </c>
      <c r="S58" s="5" t="s">
        <v>21</v>
      </c>
      <c r="T58" s="5" t="s">
        <v>22</v>
      </c>
      <c r="U58" s="5" t="s">
        <v>23</v>
      </c>
      <c r="V58" s="5" t="s">
        <v>24</v>
      </c>
      <c r="W58" s="16" t="s">
        <v>25</v>
      </c>
      <c r="X58" s="247"/>
      <c r="Y58" s="3"/>
      <c r="Z58" s="3"/>
    </row>
    <row r="59">
      <c r="A59" s="27"/>
      <c r="B59" s="13" t="s">
        <v>196</v>
      </c>
      <c r="C59" s="19" t="s">
        <v>1743</v>
      </c>
      <c r="D59" s="19" t="s">
        <v>1743</v>
      </c>
      <c r="E59" s="19" t="s">
        <v>1743</v>
      </c>
      <c r="F59" s="19" t="s">
        <v>1743</v>
      </c>
      <c r="G59" s="19" t="s">
        <v>1570</v>
      </c>
      <c r="H59" s="19" t="s">
        <v>1570</v>
      </c>
      <c r="I59" s="19" t="s">
        <v>1570</v>
      </c>
      <c r="J59" s="19" t="s">
        <v>1570</v>
      </c>
      <c r="K59" s="19" t="s">
        <v>1570</v>
      </c>
      <c r="L59" s="19" t="s">
        <v>941</v>
      </c>
      <c r="M59" s="19" t="s">
        <v>941</v>
      </c>
      <c r="N59" s="19" t="s">
        <v>941</v>
      </c>
      <c r="O59" s="139" t="s">
        <v>941</v>
      </c>
      <c r="P59" s="19" t="s">
        <v>941</v>
      </c>
      <c r="Q59" s="140" t="s">
        <v>941</v>
      </c>
      <c r="R59" s="19" t="s">
        <v>941</v>
      </c>
      <c r="S59" s="19" t="s">
        <v>941</v>
      </c>
      <c r="T59" s="19" t="s">
        <v>941</v>
      </c>
      <c r="U59" s="19" t="s">
        <v>941</v>
      </c>
      <c r="V59" s="19" t="s">
        <v>941</v>
      </c>
      <c r="W59" s="19" t="s">
        <v>940</v>
      </c>
      <c r="X59" s="284"/>
      <c r="Y59" s="3"/>
      <c r="Z59" s="3"/>
    </row>
    <row r="60" ht="60.0" customHeight="1">
      <c r="A60" s="27"/>
      <c r="B60" s="29"/>
      <c r="C60" s="34" t="str">
        <f>HYPERLINK("https://www.youtube.com/watch?v=GDGd1OE8G-4","การสกัดตัวด้วยตัวทำลาย (Extraction)")</f>
        <v>การสกัดตัวด้วยตัวทำลาย (Extraction)</v>
      </c>
      <c r="D60" s="34" t="str">
        <f>HYPERLINK("https://www.youtube.com/watch?v=kHZhhRHhpZc","โครมาโทกราฟี (Chromatography)")</f>
        <v>โครมาโทกราฟี (Chromatography)</v>
      </c>
      <c r="E60" s="34" t="str">
        <f>HYPERLINK("https://www.youtube.com/watch?v=wO4rxlyS_JU","สัญลักษณ์นิวเคลียร์")</f>
        <v>สัญลักษณ์นิวเคลียร์</v>
      </c>
      <c r="F60" s="34" t="str">
        <f>HYPERLINK("https://www.youtube.com/watch?v=6lIqGDAB89U","""สมบัติธาตุโลหะ กึ่งโลหะ อโลหะ""")</f>
        <v>"สมบัติธาตุโลหะ กึ่งโลหะ อโลหะ"</v>
      </c>
      <c r="G60" s="46" t="s">
        <v>1801</v>
      </c>
      <c r="H60" s="46" t="s">
        <v>1802</v>
      </c>
      <c r="I60" s="46" t="s">
        <v>1803</v>
      </c>
      <c r="J60" s="55" t="s">
        <v>1804</v>
      </c>
      <c r="K60" s="55" t="s">
        <v>1805</v>
      </c>
      <c r="L60" s="46" t="s">
        <v>1806</v>
      </c>
      <c r="M60" s="46" t="s">
        <v>1807</v>
      </c>
      <c r="N60" s="46" t="s">
        <v>1808</v>
      </c>
      <c r="O60" s="44" t="s">
        <v>1809</v>
      </c>
      <c r="P60" s="55" t="s">
        <v>1810</v>
      </c>
      <c r="Q60" s="48" t="s">
        <v>1811</v>
      </c>
      <c r="R60" s="55" t="s">
        <v>1812</v>
      </c>
      <c r="S60" s="55" t="s">
        <v>1813</v>
      </c>
      <c r="T60" s="46" t="s">
        <v>1814</v>
      </c>
      <c r="U60" s="55" t="s">
        <v>1815</v>
      </c>
      <c r="V60" s="55" t="s">
        <v>1816</v>
      </c>
      <c r="W60" s="46" t="s">
        <v>1817</v>
      </c>
      <c r="X60" s="254"/>
      <c r="Y60" s="3"/>
      <c r="Z60" s="3"/>
    </row>
    <row r="61">
      <c r="A61" s="27"/>
      <c r="B61" s="29"/>
      <c r="C61" s="10" t="s">
        <v>1818</v>
      </c>
      <c r="D61" s="10" t="s">
        <v>1818</v>
      </c>
      <c r="E61" s="10" t="s">
        <v>1818</v>
      </c>
      <c r="F61" s="10" t="s">
        <v>1818</v>
      </c>
      <c r="G61" s="285" t="s">
        <v>1819</v>
      </c>
      <c r="H61" s="285" t="s">
        <v>1819</v>
      </c>
      <c r="I61" s="285" t="s">
        <v>1819</v>
      </c>
      <c r="J61" s="285" t="s">
        <v>1819</v>
      </c>
      <c r="K61" s="285" t="s">
        <v>1819</v>
      </c>
      <c r="L61" s="75" t="s">
        <v>1820</v>
      </c>
      <c r="M61" s="75" t="s">
        <v>1820</v>
      </c>
      <c r="N61" s="75" t="s">
        <v>1820</v>
      </c>
      <c r="O61" s="202" t="s">
        <v>1820</v>
      </c>
      <c r="P61" s="75" t="s">
        <v>1821</v>
      </c>
      <c r="Q61" s="75" t="s">
        <v>1821</v>
      </c>
      <c r="R61" s="75" t="s">
        <v>1821</v>
      </c>
      <c r="S61" s="75" t="s">
        <v>1822</v>
      </c>
      <c r="T61" s="75" t="s">
        <v>1822</v>
      </c>
      <c r="U61" s="58" t="s">
        <v>1823</v>
      </c>
      <c r="V61" s="64" t="s">
        <v>1823</v>
      </c>
      <c r="W61" s="75" t="s">
        <v>1824</v>
      </c>
      <c r="X61" s="247"/>
      <c r="Y61" s="3"/>
      <c r="Z61" s="3"/>
    </row>
    <row r="62">
      <c r="A62" s="27"/>
      <c r="B62" s="29"/>
      <c r="C62" s="10" t="s">
        <v>1825</v>
      </c>
      <c r="D62" s="10" t="s">
        <v>1825</v>
      </c>
      <c r="E62" s="10" t="s">
        <v>1825</v>
      </c>
      <c r="F62" s="10" t="s">
        <v>1825</v>
      </c>
      <c r="G62" s="203" t="s">
        <v>1826</v>
      </c>
      <c r="H62" s="203" t="s">
        <v>1826</v>
      </c>
      <c r="I62" s="203" t="s">
        <v>1826</v>
      </c>
      <c r="J62" s="203" t="s">
        <v>1826</v>
      </c>
      <c r="K62" s="203" t="s">
        <v>1826</v>
      </c>
      <c r="L62" s="75" t="s">
        <v>1653</v>
      </c>
      <c r="M62" s="75" t="s">
        <v>1653</v>
      </c>
      <c r="N62" s="75" t="s">
        <v>1653</v>
      </c>
      <c r="O62" s="202" t="s">
        <v>1653</v>
      </c>
      <c r="P62" s="75" t="s">
        <v>1827</v>
      </c>
      <c r="Q62" s="75" t="s">
        <v>1827</v>
      </c>
      <c r="R62" s="75" t="s">
        <v>1827</v>
      </c>
      <c r="S62" s="75" t="s">
        <v>1828</v>
      </c>
      <c r="T62" s="75" t="s">
        <v>1828</v>
      </c>
      <c r="U62" s="58" t="s">
        <v>1829</v>
      </c>
      <c r="V62" s="64" t="s">
        <v>1829</v>
      </c>
      <c r="W62" s="75" t="s">
        <v>1830</v>
      </c>
      <c r="X62" s="247"/>
      <c r="Y62" s="3"/>
      <c r="Z62" s="3"/>
    </row>
    <row r="63">
      <c r="A63" s="27"/>
      <c r="B63" s="29"/>
      <c r="C63" s="10" t="s">
        <v>1831</v>
      </c>
      <c r="D63" s="10" t="s">
        <v>1831</v>
      </c>
      <c r="E63" s="10" t="s">
        <v>1831</v>
      </c>
      <c r="F63" s="10" t="s">
        <v>1831</v>
      </c>
      <c r="G63" s="203" t="s">
        <v>1832</v>
      </c>
      <c r="H63" s="203" t="s">
        <v>1832</v>
      </c>
      <c r="I63" s="203" t="s">
        <v>1832</v>
      </c>
      <c r="J63" s="203" t="s">
        <v>1832</v>
      </c>
      <c r="K63" s="203" t="s">
        <v>1832</v>
      </c>
      <c r="L63" s="75" t="s">
        <v>1833</v>
      </c>
      <c r="M63" s="75" t="s">
        <v>1833</v>
      </c>
      <c r="N63" s="75" t="s">
        <v>1833</v>
      </c>
      <c r="O63" s="202" t="s">
        <v>1833</v>
      </c>
      <c r="P63" s="75" t="s">
        <v>878</v>
      </c>
      <c r="Q63" s="75" t="s">
        <v>878</v>
      </c>
      <c r="R63" s="75" t="s">
        <v>878</v>
      </c>
      <c r="S63" s="75" t="s">
        <v>1832</v>
      </c>
      <c r="T63" s="75" t="s">
        <v>1832</v>
      </c>
      <c r="U63" s="58" t="s">
        <v>108</v>
      </c>
      <c r="V63" s="64" t="s">
        <v>108</v>
      </c>
      <c r="W63" s="75" t="s">
        <v>105</v>
      </c>
      <c r="X63" s="247"/>
      <c r="Y63" s="3"/>
      <c r="Z63" s="3"/>
    </row>
    <row r="64" ht="15.0" customHeight="1">
      <c r="A64" s="27"/>
      <c r="B64" s="29"/>
      <c r="C64" s="91" t="s">
        <v>1834</v>
      </c>
      <c r="D64" s="98" t="s">
        <v>1835</v>
      </c>
      <c r="E64" s="91" t="s">
        <v>1836</v>
      </c>
      <c r="F64" s="91" t="s">
        <v>1837</v>
      </c>
      <c r="G64" s="91" t="s">
        <v>1838</v>
      </c>
      <c r="H64" s="91" t="s">
        <v>1839</v>
      </c>
      <c r="I64" s="91" t="s">
        <v>1840</v>
      </c>
      <c r="J64" s="91" t="s">
        <v>1841</v>
      </c>
      <c r="K64" s="91" t="s">
        <v>1842</v>
      </c>
      <c r="L64" s="91" t="s">
        <v>1843</v>
      </c>
      <c r="M64" s="91" t="s">
        <v>1844</v>
      </c>
      <c r="N64" s="91" t="s">
        <v>1845</v>
      </c>
      <c r="O64" s="87" t="s">
        <v>1846</v>
      </c>
      <c r="P64" s="69" t="s">
        <v>1847</v>
      </c>
      <c r="Q64" s="85" t="s">
        <v>1848</v>
      </c>
      <c r="R64" s="91" t="s">
        <v>1849</v>
      </c>
      <c r="S64" s="91" t="s">
        <v>1850</v>
      </c>
      <c r="T64" s="91" t="s">
        <v>1851</v>
      </c>
      <c r="U64" s="91" t="s">
        <v>1852</v>
      </c>
      <c r="V64" s="91" t="s">
        <v>1853</v>
      </c>
      <c r="W64" s="91" t="s">
        <v>1854</v>
      </c>
      <c r="X64" s="259"/>
      <c r="Y64" s="3"/>
      <c r="Z64" s="3"/>
    </row>
    <row r="65" ht="15.0" customHeight="1">
      <c r="A65" s="27"/>
      <c r="B65" s="79"/>
      <c r="C65" s="98" t="str">
        <f>HYPERLINK("https://drive.google.com/folderview?id=0B4mky1MMW8dYfnpKZkJDZGJEU1Y4MDdkMktLMHJ3WlBkVjhIbllxei0yYjNwZzZEeVNNRWs&amp;usp=sharing","ดาวน์โหลดเอกสารประกอบ")</f>
        <v>ดาวน์โหลดเอกสารประกอบ</v>
      </c>
      <c r="D65" s="98" t="str">
        <f>HYPERLINK("https://drive.google.com/folderview?id=0B4mky1MMW8dYfjdkQzNveDk3eUdxQmZDWUtUZndVc2VmVVI2Mnktb2VWMloxMnpoMHUyX2c&amp;usp=sharing","ดาวน์โหลดเอกสารประกอบ")</f>
        <v>ดาวน์โหลดเอกสารประกอบ</v>
      </c>
      <c r="E65" s="98" t="str">
        <f>HYPERLINK("https://drive.google.com/folderview?id=0B4mky1MMW8dYfm9MRWlUeHVJZ2czNkZrV1VtV0JPX2M1cmY0dmk2ZVhFVHVHOTJvUFBUZmM&amp;usp=sharing","ดาวน์โหลดเอกสารประกอบ")</f>
        <v>ดาวน์โหลดเอกสารประกอบ</v>
      </c>
      <c r="F65" s="98" t="str">
        <f>HYPERLINK("https://drive.google.com/folderview?id=0B4mky1MMW8dYfnVJR0VaaVJ6b2Z1OThVZ051LXJ5UkktdjgzZl9lVFJaZGxjLXkyWU5wUEU&amp;usp=sharing","ดาวน์โหลดเอกสารประกอบ")</f>
        <v>ดาวน์โหลดเอกสารประกอบ</v>
      </c>
      <c r="G65" s="98" t="str">
        <f>HYPERLINK("https://drive.google.com/folderview?id=0B0x_dulH5-nEVWlrajlNUDR1SkU&amp;usp=sharing","ดาวน์โหลดเอกสารประกอบ")</f>
        <v>ดาวน์โหลดเอกสารประกอบ</v>
      </c>
      <c r="H65" s="98" t="str">
        <f>HYPERLINK("https://drive.google.com/folderview?id=0B0x_dulH5-nER084YmN2ZC1xSWc&amp;usp=sharing","ดาวน์โหลดเอกสารประกอบ")</f>
        <v>ดาวน์โหลดเอกสารประกอบ</v>
      </c>
      <c r="I65" s="98" t="str">
        <f>HYPERLINK("https://drive.google.com/folderview?id=0B0x_dulH5-nEUlJxcnJiNUJmcWs&amp;usp=sharing","ดาวน์โหลดเอกสารประกอบ")</f>
        <v>ดาวน์โหลดเอกสารประกอบ</v>
      </c>
      <c r="J65" s="98" t="str">
        <f>HYPERLINK("https://drive.google.com/folderview?id=0B0x_dulH5-nEN0lPQXFCaElsaUk&amp;usp=sharing","ดาวน์โหลดเอกสารประกอบ")</f>
        <v>ดาวน์โหลดเอกสารประกอบ</v>
      </c>
      <c r="K65" s="98" t="str">
        <f>HYPERLINK("https://drive.google.com/folderview?id=0B0x_dulH5-nES3pkc3BfamVoUzA&amp;usp=sharing","ดาวน์โหลดเอกสารประกอบ")</f>
        <v>ดาวน์โหลดเอกสารประกอบ</v>
      </c>
      <c r="L65" s="98" t="str">
        <f>HYPERLINK("https://drive.google.com/folderview?id=0B4mky1MMW8dYfjJWbVFGQlB0UnNEZjVCQnRvSWotQXR1RDJHcFliSmpyNVlFMG9qRmFUZXc&amp;usp=sharing","ดาวน์โหลดเอกสารประกอบ")</f>
        <v>ดาวน์โหลดเอกสารประกอบ</v>
      </c>
      <c r="M65" s="98" t="str">
        <f>HYPERLINK("https://drive.google.com/folderview?id=0B4mky1MMW8dYfjg0QjZFaFY3bEpSQjU4SUhlc1VPdjNRSGFMRkZwNHZwcjVQb1ZwSTEtSWc&amp;usp=sharing","ดาวน์โหลดเอกสารประกอบ")</f>
        <v>ดาวน์โหลดเอกสารประกอบ</v>
      </c>
      <c r="N65" s="98" t="str">
        <f>HYPERLINK("https://drive.google.com/folderview?id=0B4mky1MMW8dYflBXNFJCRGVKME9zSG1TZ3lmMkVBS21kU1FtNGloQ2E1bVg5R3NZTkp0SzQ&amp;usp=sharing ","ดาวน์โหลดเอกสารประกอบ")</f>
        <v>ดาวน์โหลดเอกสารประกอบ</v>
      </c>
      <c r="O65" s="106" t="str">
        <f>HYPERLINK("https://drive.google.com/folderview?id=0B4mky1MMW8dYfk1JVDZwdTlUYnVHMUtfbFBubktRMldoalR6WENOakp0bjlOREZGcnlULVE&amp;usp=sharing ","ดาวน์โหลดเอกสารประกอบ")</f>
        <v>ดาวน์โหลดเอกสารประกอบ</v>
      </c>
      <c r="P65" s="94" t="s">
        <v>31</v>
      </c>
      <c r="Q65" s="164" t="s">
        <v>195</v>
      </c>
      <c r="R65" s="152" t="s">
        <v>31</v>
      </c>
      <c r="S65" s="98" t="str">
        <f>HYPERLINK("https://drive.google.com/folderview?id=0B0x_dulH5-nEdDZHam9JbUJ3WVU&amp;usp=sharing","ดาวน์โหลดเอกสารประกอบ")</f>
        <v>ดาวน์โหลดเอกสารประกอบ</v>
      </c>
      <c r="T65" s="279" t="s">
        <v>31</v>
      </c>
      <c r="U65" s="152" t="s">
        <v>31</v>
      </c>
      <c r="V65" s="98" t="str">
        <f>HYPERLINK("https://drive.google.com/folderview?id=0B0x_dulH5-nEfnhmcWQ5WWZka293OUhnZ3kzT0lZdmFHS1QxOVBfUXA2T1oyMDdIcHZ2Z1U&amp;usp=sharing","ดาวน์โหลดเอกสารประกอบ")</f>
        <v>ดาวน์โหลดเอกสารประกอบ</v>
      </c>
      <c r="W65" s="152" t="s">
        <v>31</v>
      </c>
      <c r="X65" s="247"/>
      <c r="Y65" s="3"/>
      <c r="Z65" s="3"/>
    </row>
    <row r="66">
      <c r="A66" s="27"/>
      <c r="B66" s="5" t="s">
        <v>3</v>
      </c>
      <c r="C66" s="5" t="s">
        <v>4</v>
      </c>
      <c r="D66" s="12" t="s">
        <v>5</v>
      </c>
      <c r="E66" s="5" t="s">
        <v>6</v>
      </c>
      <c r="F66" s="5" t="s">
        <v>8</v>
      </c>
      <c r="G66" s="5" t="s">
        <v>9</v>
      </c>
      <c r="H66" s="5" t="s">
        <v>10</v>
      </c>
      <c r="I66" s="5" t="s">
        <v>11</v>
      </c>
      <c r="J66" s="5" t="s">
        <v>12</v>
      </c>
      <c r="K66" s="5" t="s">
        <v>13</v>
      </c>
      <c r="L66" s="5" t="s">
        <v>14</v>
      </c>
      <c r="M66" s="5" t="s">
        <v>15</v>
      </c>
      <c r="N66" s="5" t="s">
        <v>16</v>
      </c>
      <c r="O66" s="14" t="s">
        <v>17</v>
      </c>
      <c r="P66" s="242" t="s">
        <v>18</v>
      </c>
      <c r="Q66" s="12" t="s">
        <v>19</v>
      </c>
      <c r="R66" s="5" t="s">
        <v>20</v>
      </c>
      <c r="S66" s="5" t="s">
        <v>21</v>
      </c>
      <c r="T66" s="5" t="s">
        <v>22</v>
      </c>
      <c r="U66" s="5" t="s">
        <v>23</v>
      </c>
      <c r="V66" s="5" t="s">
        <v>24</v>
      </c>
      <c r="W66" s="5" t="s">
        <v>25</v>
      </c>
      <c r="X66" s="121" t="s">
        <v>26</v>
      </c>
      <c r="Y66" s="16" t="s">
        <v>27</v>
      </c>
      <c r="Z66" s="16" t="s">
        <v>28</v>
      </c>
    </row>
    <row r="67">
      <c r="A67" s="27"/>
      <c r="B67" s="13" t="s">
        <v>241</v>
      </c>
      <c r="C67" s="19" t="s">
        <v>940</v>
      </c>
      <c r="D67" s="19" t="s">
        <v>940</v>
      </c>
      <c r="E67" s="19" t="s">
        <v>940</v>
      </c>
      <c r="F67" s="19" t="s">
        <v>940</v>
      </c>
      <c r="G67" s="19" t="s">
        <v>940</v>
      </c>
      <c r="H67" s="19" t="s">
        <v>940</v>
      </c>
      <c r="I67" s="19" t="s">
        <v>1428</v>
      </c>
      <c r="J67" s="19" t="s">
        <v>1428</v>
      </c>
      <c r="K67" s="19" t="s">
        <v>1428</v>
      </c>
      <c r="L67" s="19" t="s">
        <v>1428</v>
      </c>
      <c r="M67" s="19" t="s">
        <v>1428</v>
      </c>
      <c r="N67" s="286" t="s">
        <v>1430</v>
      </c>
      <c r="O67" s="139" t="s">
        <v>1430</v>
      </c>
      <c r="P67" s="19" t="s">
        <v>1430</v>
      </c>
      <c r="Q67" s="140" t="s">
        <v>1430</v>
      </c>
      <c r="R67" s="19" t="s">
        <v>1430</v>
      </c>
      <c r="S67" s="19" t="s">
        <v>1430</v>
      </c>
      <c r="T67" s="19" t="s">
        <v>1430</v>
      </c>
      <c r="U67" s="19" t="s">
        <v>1430</v>
      </c>
      <c r="V67" s="21" t="s">
        <v>1430</v>
      </c>
      <c r="W67" s="141" t="s">
        <v>1855</v>
      </c>
      <c r="X67" s="168" t="s">
        <v>1855</v>
      </c>
      <c r="Y67" s="168" t="s">
        <v>792</v>
      </c>
      <c r="Z67" s="168" t="s">
        <v>792</v>
      </c>
    </row>
    <row r="68" ht="60.0" customHeight="1">
      <c r="A68" s="27"/>
      <c r="B68" s="29"/>
      <c r="C68" s="34" t="str">
        <f>HYPERLINK("https://www.youtube.com/watch?v=ct0SbZZfxw8","แรงย่อยสู่แรงลัพธ์")</f>
        <v>แรงย่อยสู่แรงลัพธ์</v>
      </c>
      <c r="D68" s="34" t="str">
        <f>HYPERLINK("https://www.youtube.com/watch?v=dO4gUK2oa1E","ความเร็วสู่ความเร่ง ตอน 1")</f>
        <v>ความเร็วสู่ความเร่ง ตอน 1</v>
      </c>
      <c r="E68" s="34" t="str">
        <f>HYPERLINK("https://www.youtube.com/watch?v=ICEqkXraanU","ความเร็วสู่ความเร่ง ตอน 2")</f>
        <v>ความเร็วสู่ความเร่ง ตอน 2</v>
      </c>
      <c r="F68" s="34" t="str">
        <f>HYPERLINK("https://www.youtube.com/watch?v=tMyOGzHGB08","แรงกิริยา แรงปฏิกิริยา")</f>
        <v>แรงกิริยา แรงปฏิกิริยา</v>
      </c>
      <c r="G68" s="39" t="str">
        <f>HYPERLINK("https://www.youtube.com/watch?v=oc3qKrFNf5k","แรงเสียดทาน")</f>
        <v>แรงเสียดทาน</v>
      </c>
      <c r="H68" s="34" t="str">
        <f>HYPERLINK("https://www.youtube.com/watch?v=pq4HXvMaCOA","แรงพยุงของของเหลว ตอน 1")</f>
        <v>แรงพยุงของของเหลว ตอน 1</v>
      </c>
      <c r="I68" s="34" t="str">
        <f>HYPERLINK("https://www.youtube.com/watch?v=PCkvL8kgU-Y","แรงพยุงของของเหลว ตอน 2")</f>
        <v>แรงพยุงของของเหลว ตอน 2</v>
      </c>
      <c r="J68" s="46" t="s">
        <v>1856</v>
      </c>
      <c r="K68" s="46" t="s">
        <v>1857</v>
      </c>
      <c r="L68" s="55" t="s">
        <v>1858</v>
      </c>
      <c r="M68" s="55" t="s">
        <v>1859</v>
      </c>
      <c r="N68" s="46" t="s">
        <v>1860</v>
      </c>
      <c r="O68" s="44" t="s">
        <v>1861</v>
      </c>
      <c r="P68" s="55" t="s">
        <v>1862</v>
      </c>
      <c r="Q68" s="48" t="s">
        <v>1863</v>
      </c>
      <c r="R68" s="55" t="s">
        <v>1864</v>
      </c>
      <c r="S68" s="46" t="s">
        <v>1865</v>
      </c>
      <c r="T68" s="46" t="s">
        <v>1866</v>
      </c>
      <c r="U68" s="34" t="str">
        <f>HYPERLINK("https://www.youtube.com/watch?v=_5uyw25oiTA","""ความสัมพันธ์ระหว่าง ความต้านทานกับชนิด  ขนาด และความยาวของตัวนำ""")</f>
        <v>"ความสัมพันธ์ระหว่าง ความต้านทานกับชนิด  ขนาด และความยาวของตัวนำ"</v>
      </c>
      <c r="V68" s="46" t="s">
        <v>1867</v>
      </c>
      <c r="W68" s="55" t="s">
        <v>1868</v>
      </c>
      <c r="X68" s="55" t="s">
        <v>1869</v>
      </c>
      <c r="Y68" s="55" t="s">
        <v>1870</v>
      </c>
      <c r="Z68" s="55" t="s">
        <v>1871</v>
      </c>
    </row>
    <row r="69">
      <c r="A69" s="27"/>
      <c r="B69" s="29"/>
      <c r="C69" s="10" t="s">
        <v>1872</v>
      </c>
      <c r="D69" s="10" t="s">
        <v>1872</v>
      </c>
      <c r="E69" s="10" t="s">
        <v>1872</v>
      </c>
      <c r="F69" s="10" t="s">
        <v>1873</v>
      </c>
      <c r="G69" s="10" t="s">
        <v>1873</v>
      </c>
      <c r="H69" s="10" t="s">
        <v>1873</v>
      </c>
      <c r="I69" s="10" t="s">
        <v>1873</v>
      </c>
      <c r="J69" s="10" t="s">
        <v>1874</v>
      </c>
      <c r="K69" s="10" t="s">
        <v>1874</v>
      </c>
      <c r="L69" s="75" t="s">
        <v>1875</v>
      </c>
      <c r="M69" s="75" t="s">
        <v>1875</v>
      </c>
      <c r="N69" s="75" t="s">
        <v>1876</v>
      </c>
      <c r="O69" s="75" t="s">
        <v>1876</v>
      </c>
      <c r="P69" s="75" t="s">
        <v>1876</v>
      </c>
      <c r="Q69" s="60" t="s">
        <v>1877</v>
      </c>
      <c r="R69" s="10" t="s">
        <v>1877</v>
      </c>
      <c r="S69" s="75" t="s">
        <v>1878</v>
      </c>
      <c r="T69" s="75" t="s">
        <v>1878</v>
      </c>
      <c r="U69" s="10" t="s">
        <v>1873</v>
      </c>
      <c r="V69" s="75" t="s">
        <v>1824</v>
      </c>
      <c r="W69" s="10" t="s">
        <v>1873</v>
      </c>
      <c r="X69" s="10" t="s">
        <v>1873</v>
      </c>
      <c r="Y69" s="10" t="s">
        <v>1873</v>
      </c>
      <c r="Z69" s="10" t="s">
        <v>1873</v>
      </c>
    </row>
    <row r="70">
      <c r="A70" s="27"/>
      <c r="B70" s="29"/>
      <c r="C70" s="10" t="s">
        <v>998</v>
      </c>
      <c r="D70" s="10" t="s">
        <v>998</v>
      </c>
      <c r="E70" s="10" t="s">
        <v>998</v>
      </c>
      <c r="F70" s="10" t="s">
        <v>1879</v>
      </c>
      <c r="G70" s="10" t="s">
        <v>1879</v>
      </c>
      <c r="H70" s="10" t="s">
        <v>1879</v>
      </c>
      <c r="I70" s="10" t="s">
        <v>1879</v>
      </c>
      <c r="J70" s="10" t="s">
        <v>1880</v>
      </c>
      <c r="K70" s="10" t="s">
        <v>1880</v>
      </c>
      <c r="L70" s="75" t="s">
        <v>1881</v>
      </c>
      <c r="M70" s="75" t="s">
        <v>1881</v>
      </c>
      <c r="N70" s="75" t="s">
        <v>1882</v>
      </c>
      <c r="O70" s="75" t="s">
        <v>1882</v>
      </c>
      <c r="P70" s="75" t="s">
        <v>1882</v>
      </c>
      <c r="Q70" s="60" t="s">
        <v>1190</v>
      </c>
      <c r="R70" s="10" t="s">
        <v>1190</v>
      </c>
      <c r="S70" s="75" t="s">
        <v>1883</v>
      </c>
      <c r="T70" s="75" t="s">
        <v>1883</v>
      </c>
      <c r="U70" s="10" t="s">
        <v>1879</v>
      </c>
      <c r="V70" s="75" t="s">
        <v>1830</v>
      </c>
      <c r="W70" s="10" t="s">
        <v>1879</v>
      </c>
      <c r="X70" s="10" t="s">
        <v>1879</v>
      </c>
      <c r="Y70" s="10" t="s">
        <v>1879</v>
      </c>
      <c r="Z70" s="10" t="s">
        <v>1879</v>
      </c>
    </row>
    <row r="71" ht="15.0" customHeight="1">
      <c r="A71" s="27"/>
      <c r="B71" s="29"/>
      <c r="C71" s="2"/>
      <c r="D71" s="10" t="s">
        <v>1014</v>
      </c>
      <c r="E71" s="10" t="s">
        <v>1014</v>
      </c>
      <c r="F71" s="10" t="s">
        <v>1884</v>
      </c>
      <c r="G71" s="10" t="s">
        <v>1884</v>
      </c>
      <c r="H71" s="10" t="s">
        <v>1884</v>
      </c>
      <c r="I71" s="10" t="s">
        <v>1884</v>
      </c>
      <c r="J71" s="10" t="s">
        <v>861</v>
      </c>
      <c r="K71" s="10" t="s">
        <v>861</v>
      </c>
      <c r="L71" s="75" t="s">
        <v>105</v>
      </c>
      <c r="M71" s="75" t="s">
        <v>105</v>
      </c>
      <c r="N71" s="75" t="s">
        <v>105</v>
      </c>
      <c r="O71" s="75" t="s">
        <v>105</v>
      </c>
      <c r="P71" s="75" t="s">
        <v>105</v>
      </c>
      <c r="Q71" s="60" t="s">
        <v>1196</v>
      </c>
      <c r="R71" s="10" t="s">
        <v>1196</v>
      </c>
      <c r="S71" s="75" t="s">
        <v>1885</v>
      </c>
      <c r="T71" s="75" t="s">
        <v>1885</v>
      </c>
      <c r="U71" s="10" t="s">
        <v>1884</v>
      </c>
      <c r="V71" s="75" t="s">
        <v>105</v>
      </c>
      <c r="W71" s="10" t="s">
        <v>1884</v>
      </c>
      <c r="X71" s="10" t="s">
        <v>1884</v>
      </c>
      <c r="Y71" s="10" t="s">
        <v>1884</v>
      </c>
      <c r="Z71" s="10" t="s">
        <v>1884</v>
      </c>
    </row>
    <row r="72">
      <c r="A72" s="27"/>
      <c r="B72" s="29"/>
      <c r="C72" s="69" t="s">
        <v>1886</v>
      </c>
      <c r="D72" s="91" t="s">
        <v>1887</v>
      </c>
      <c r="E72" s="91" t="s">
        <v>1888</v>
      </c>
      <c r="F72" s="91" t="s">
        <v>1889</v>
      </c>
      <c r="G72" s="91" t="s">
        <v>1890</v>
      </c>
      <c r="H72" s="91" t="s">
        <v>1891</v>
      </c>
      <c r="I72" s="91" t="s">
        <v>1892</v>
      </c>
      <c r="J72" s="91" t="s">
        <v>1893</v>
      </c>
      <c r="K72" s="91" t="s">
        <v>1894</v>
      </c>
      <c r="L72" s="91" t="s">
        <v>1895</v>
      </c>
      <c r="M72" s="91" t="s">
        <v>1896</v>
      </c>
      <c r="N72" s="91" t="s">
        <v>1897</v>
      </c>
      <c r="O72" s="87" t="s">
        <v>1898</v>
      </c>
      <c r="P72" s="287" t="s">
        <v>1899</v>
      </c>
      <c r="Q72" s="85" t="s">
        <v>1900</v>
      </c>
      <c r="R72" s="91" t="s">
        <v>1901</v>
      </c>
      <c r="S72" s="91" t="s">
        <v>1902</v>
      </c>
      <c r="T72" s="91" t="s">
        <v>1903</v>
      </c>
      <c r="U72" s="91" t="s">
        <v>1904</v>
      </c>
      <c r="V72" s="91" t="s">
        <v>1905</v>
      </c>
      <c r="W72" s="91" t="s">
        <v>1906</v>
      </c>
      <c r="X72" s="91" t="s">
        <v>1907</v>
      </c>
      <c r="Y72" s="91" t="s">
        <v>1908</v>
      </c>
      <c r="Z72" s="91" t="s">
        <v>1909</v>
      </c>
    </row>
    <row r="73">
      <c r="A73" s="27"/>
      <c r="B73" s="79"/>
      <c r="C73" s="98" t="str">
        <f>HYPERLINK("https://drive.google.com/folderview?id=0B4mky1MMW8dYflRlU2ducWpHRU40cjFYSENadGVhVk1EenFta3FSZlVBME5SZHVnc0VDUEU&amp;usp=sharing","ดาวน์โหลดเอกสารประกอบ")</f>
        <v>ดาวน์โหลดเอกสารประกอบ</v>
      </c>
      <c r="D73" s="98" t="str">
        <f>HYPERLINK("https://drive.google.com/folderview?id=0B4mky1MMW8dYfkZQWC1JZzBCYmdYaXVOX2IzMnhrQzJfTThLTGphaEhGQTdWMUdSVFJBSE0&amp;usp=sharingv","ดาวน์โหลดเอกสารประกอบ")</f>
        <v>ดาวน์โหลดเอกสารประกอบ</v>
      </c>
      <c r="E73" s="98" t="str">
        <f>HYPERLINK("https://drive.google.com/folderview?id=0B4mky1MMW8dYfjhKcHNBc09nUnl2SUM5NmVmVHZ5TWVEckxCeTRqak9QU3NnY2w5SDdzeEE&amp;usp=sharing","ดาวน์โหลดเอกสารประกอบ")</f>
        <v>ดาวน์โหลดเอกสารประกอบ</v>
      </c>
      <c r="F73" s="98" t="str">
        <f>HYPERLINK("https://drive.google.com/folderview?id=0B4mky1MMW8dYfmg1NExIOE1UM0NZZUhKQTdGZEpTNm1VaC1EMHRSM1pxTWcxV25zOHBDcU0&amp;usp=sharing","ดาวน์โหลดเอกสารประกอบ")</f>
        <v>ดาวน์โหลดเอกสารประกอบ</v>
      </c>
      <c r="G73" s="98" t="str">
        <f>HYPERLINK("https://drive.google.com/folderview?id=0B4mky1MMW8dYfm9NZFQ1Z1RTaFZGc3V0V01BcTh0dW41LXh2c0dQbnJ4SklTVjE3eXVkenc&amp;usp=sharing","ดาวน์โหลดเอกสารประกอบ")</f>
        <v>ดาวน์โหลดเอกสารประกอบ</v>
      </c>
      <c r="H73" s="98" t="str">
        <f>HYPERLINK("https://drive.google.com/folderview?id=0B4mky1MMW8dYflV3VG9ZM0c1ZzlGZTR5bDgzSHFCSmdkbllocjNVWEJmaFJFWGlSeFBjZWs&amp;usp=sharing","ดาวน์โหลดเอกสารประกอบ")</f>
        <v>ดาวน์โหลดเอกสารประกอบ</v>
      </c>
      <c r="I73" s="98" t="str">
        <f>HYPERLINK("https://drive.google.com/folderview?id=0B4mky1MMW8dYfnl4cUI2NW9IQzFzWnNDY2NLNTVSdmxwNklrZ2g2MFh3RWdKcWE3ZGgxaFE&amp;usp=sharing","ดาวน์โหลดเอกสารประกอบ")</f>
        <v>ดาวน์โหลดเอกสารประกอบ</v>
      </c>
      <c r="J73" s="98" t="str">
        <f>HYPERLINK("https://drive.google.com/folderview?id=0B0x_dulH5-nEVmU3TGtvVVdpbUE&amp;usp=sharing","ดาวน์โหลดเอกสารประกอบ")</f>
        <v>ดาวน์โหลดเอกสารประกอบ</v>
      </c>
      <c r="K73" s="98" t="str">
        <f>HYPERLINK("https://drive.google.com/folderview?id=0B0x_dulH5-nET05tc2xPbFlnbkU&amp;usp=sharing","ดาวน์โหลดเอกสารประกอบ")</f>
        <v>ดาวน์โหลดเอกสารประกอบ</v>
      </c>
      <c r="L73" s="152" t="s">
        <v>31</v>
      </c>
      <c r="M73" s="152" t="s">
        <v>31</v>
      </c>
      <c r="N73" s="152" t="s">
        <v>31</v>
      </c>
      <c r="O73" s="213" t="s">
        <v>31</v>
      </c>
      <c r="P73" s="75" t="s">
        <v>31</v>
      </c>
      <c r="Q73" s="110" t="str">
        <f>HYPERLINK("https://drive.google.com/folderview?id=0B4mky1MMW8dYfmwzNXBxVERrbjJKdmRnaW5UWUgxaVdUOXR2VHotY00zSHUxTDExNGtqMW8&amp;usp=sharing","ดาวน์โหลดเอกสารประกอบ")</f>
        <v>ดาวน์โหลดเอกสารประกอบ</v>
      </c>
      <c r="R73" s="98" t="str">
        <f>HYPERLINK("https://drive.google.com/folderview?id=0B4mky1MMW8dYfjBWQVpMZGRlbGUzOEdVdlNUX29WaFBvR0FlNnV3Tmx3NF9xYm1mOGVVckU&amp;usp=sharing","ดาวน์โหลดเอกสารประกอบ")</f>
        <v>ดาวน์โหลดเอกสารประกอบ</v>
      </c>
      <c r="S73" s="98" t="str">
        <f>HYPERLINK("https://drive.google.com/folderview?id=0B0x_dulH5-nEWkdHNUpNTnVPWWM&amp;usp=sharing","ดาวน์โหลดเอกสารประกอบ")</f>
        <v>ดาวน์โหลดเอกสารประกอบ</v>
      </c>
      <c r="T73" s="98" t="str">
        <f>HYPERLINK("https://drive.google.com/folderview?id=0B0x_dulH5-nERUk2bzgyX1dmRjg&amp;usp=sharing","ดาวน์โหลดเอกสารประกอบ")</f>
        <v>ดาวน์โหลดเอกสารประกอบ</v>
      </c>
      <c r="U73" s="98" t="str">
        <f>HYPERLINK("https://drive.google.com/folderview?id=0B4mky1MMW8dYfnFfNWp0cjJuUUZGNDdUZDl5VHdWc00tQU5taTZqWFhlWXA0YU1NOVktc0E&amp;usp=sharing","ดาวน์โหลดเอกสารประกอบ")</f>
        <v>ดาวน์โหลดเอกสารประกอบ</v>
      </c>
      <c r="V73" s="152" t="s">
        <v>31</v>
      </c>
      <c r="W73" s="98" t="str">
        <f>HYPERLINK("https://drive.google.com/folderview?id=0B4mky1MMW8dYZ2ttVGxONDlWQ1k&amp;usp=sharing","ดาวน์โหลดเอกสารประกอบ")</f>
        <v>ดาวน์โหลดเอกสารประกอบ</v>
      </c>
      <c r="X73" s="83" t="str">
        <f>HYPERLINK("https://drive.google.com/folderview?id=0B4mky1MMW8dYQllYR0tSLXpKczA&amp;usp=sharing","ดาวน์โหลดเอกสารประกอบ")</f>
        <v>ดาวน์โหลดเอกสารประกอบ</v>
      </c>
      <c r="Y73" s="83" t="str">
        <f>HYPERLINK("https://drive.google.com/folderview?id=0B4mky1MMW8dYaTUwUlpvQ2NHU0E&amp;usp=sharing","ดาวน์โหลดเอกสารประกอบ")</f>
        <v>ดาวน์โหลดเอกสารประกอบ</v>
      </c>
      <c r="Z73" s="83" t="str">
        <f>HYPERLINK("https://drive.google.com/folderview?id=0B4mky1MMW8dYUlE1Tk96eWd2eVk&amp;usp=sharing","ดาวน์โหลดเอกสารประกอบ")</f>
        <v>ดาวน์โหลดเอกสารประกอบ</v>
      </c>
    </row>
    <row r="74">
      <c r="A74" s="27"/>
      <c r="B74" s="5" t="s">
        <v>3</v>
      </c>
      <c r="C74" s="5" t="s">
        <v>4</v>
      </c>
      <c r="D74" s="12" t="s">
        <v>5</v>
      </c>
      <c r="E74" s="5" t="s">
        <v>6</v>
      </c>
      <c r="F74" s="5" t="s">
        <v>8</v>
      </c>
      <c r="G74" s="5" t="s">
        <v>9</v>
      </c>
      <c r="H74" s="5" t="s">
        <v>10</v>
      </c>
      <c r="I74" s="5" t="s">
        <v>11</v>
      </c>
      <c r="J74" s="5" t="s">
        <v>12</v>
      </c>
      <c r="K74" s="5" t="s">
        <v>13</v>
      </c>
      <c r="L74" s="5" t="s">
        <v>14</v>
      </c>
      <c r="M74" s="5" t="s">
        <v>15</v>
      </c>
      <c r="N74" s="5" t="s">
        <v>16</v>
      </c>
      <c r="O74" s="14" t="s">
        <v>17</v>
      </c>
      <c r="P74" s="242" t="s">
        <v>18</v>
      </c>
      <c r="Q74" s="12" t="s">
        <v>19</v>
      </c>
      <c r="R74" s="5" t="s">
        <v>20</v>
      </c>
      <c r="S74" s="5" t="s">
        <v>21</v>
      </c>
      <c r="T74" s="5" t="s">
        <v>22</v>
      </c>
      <c r="U74" s="5" t="s">
        <v>23</v>
      </c>
      <c r="V74" s="5" t="s">
        <v>24</v>
      </c>
      <c r="W74" s="3"/>
      <c r="X74" s="3"/>
      <c r="Y74" s="3"/>
      <c r="Z74" s="3"/>
    </row>
    <row r="75" ht="30.0" customHeight="1">
      <c r="A75" s="27"/>
      <c r="B75" s="13" t="s">
        <v>1910</v>
      </c>
      <c r="C75" s="19" t="s">
        <v>1428</v>
      </c>
      <c r="D75" s="19" t="s">
        <v>1428</v>
      </c>
      <c r="E75" s="19" t="s">
        <v>1428</v>
      </c>
      <c r="F75" s="19" t="s">
        <v>1428</v>
      </c>
      <c r="G75" s="19" t="s">
        <v>1428</v>
      </c>
      <c r="H75" s="19" t="s">
        <v>1911</v>
      </c>
      <c r="I75" s="19" t="s">
        <v>1911</v>
      </c>
      <c r="J75" s="19" t="s">
        <v>1911</v>
      </c>
      <c r="K75" s="19" t="s">
        <v>1430</v>
      </c>
      <c r="L75" s="19" t="s">
        <v>1430</v>
      </c>
      <c r="M75" s="19" t="s">
        <v>1430</v>
      </c>
      <c r="N75" s="19" t="s">
        <v>1430</v>
      </c>
      <c r="O75" s="139" t="s">
        <v>1430</v>
      </c>
      <c r="P75" s="19" t="s">
        <v>1430</v>
      </c>
      <c r="Q75" s="140" t="s">
        <v>1430</v>
      </c>
      <c r="R75" s="19" t="s">
        <v>1430</v>
      </c>
      <c r="S75" s="10"/>
      <c r="T75" s="10"/>
      <c r="U75" s="10"/>
      <c r="V75" s="10"/>
      <c r="W75" s="3"/>
      <c r="X75" s="3"/>
      <c r="Y75" s="3"/>
      <c r="Z75" s="3"/>
    </row>
    <row r="76" ht="30.0" customHeight="1">
      <c r="A76" s="27"/>
      <c r="B76" s="29"/>
      <c r="C76" s="34" t="str">
        <f>HYPERLINK("https://www.youtube.com/watch?v=N3IEaj0GgOY","การบอกตำแหน่งวัตถุ")</f>
        <v>การบอกตำแหน่งวัตถุ</v>
      </c>
      <c r="D76" s="34" t="str">
        <f>HYPERLINK("https://www.youtube.com/watch?v=0qdFxz9cX-Y","การเคลื่อนที่แนวตรง")</f>
        <v>การเคลื่อนที่แนวตรง</v>
      </c>
      <c r="E76" s="34" t="str">
        <f>HYPERLINK("https://www.youtube.com/watch?v=OLRcort3nhw","การเคลื่อนที่แบบโพรเจกไทล์")</f>
        <v>การเคลื่อนที่แบบโพรเจกไทล์</v>
      </c>
      <c r="F76" s="34" t="str">
        <f>HYPERLINK("https://www.youtube.com/watch?v=ihPPoRCds1M","การเคลื่อนที่แบบวงกลม")</f>
        <v>การเคลื่อนที่แบบวงกลม</v>
      </c>
      <c r="G76" s="34" t="str">
        <f>HYPERLINK("https://www.youtube.com/watch?v=_ZdFklAwpn8","การเคลื่อนที่แบบซิมเปิลฮาร์มอนิกอย่างง่าย")</f>
        <v>การเคลื่อนที่แบบซิมเปิลฮาร์มอนิกอย่างง่าย</v>
      </c>
      <c r="H76" s="46" t="s">
        <v>1912</v>
      </c>
      <c r="I76" s="46" t="s">
        <v>1913</v>
      </c>
      <c r="J76" s="46" t="s">
        <v>1914</v>
      </c>
      <c r="K76" s="55" t="s">
        <v>1915</v>
      </c>
      <c r="L76" s="46" t="s">
        <v>1916</v>
      </c>
      <c r="M76" s="46" t="s">
        <v>1917</v>
      </c>
      <c r="N76" s="46" t="s">
        <v>1918</v>
      </c>
      <c r="O76" s="44" t="s">
        <v>1919</v>
      </c>
      <c r="P76" s="46" t="s">
        <v>1920</v>
      </c>
      <c r="Q76" s="42" t="s">
        <v>1921</v>
      </c>
      <c r="R76" s="46" t="s">
        <v>1922</v>
      </c>
      <c r="S76" s="50" t="s">
        <v>1923</v>
      </c>
      <c r="T76" s="50" t="s">
        <v>1924</v>
      </c>
      <c r="U76" s="50" t="s">
        <v>1925</v>
      </c>
      <c r="V76" s="50" t="s">
        <v>1926</v>
      </c>
      <c r="W76" s="3"/>
      <c r="X76" s="3"/>
      <c r="Y76" s="3"/>
      <c r="Z76" s="3"/>
    </row>
    <row r="77">
      <c r="A77" s="27"/>
      <c r="B77" s="29"/>
      <c r="C77" s="19" t="s">
        <v>1927</v>
      </c>
      <c r="D77" s="19" t="s">
        <v>1927</v>
      </c>
      <c r="E77" s="19" t="s">
        <v>1927</v>
      </c>
      <c r="F77" s="19" t="s">
        <v>1927</v>
      </c>
      <c r="G77" s="19" t="s">
        <v>1927</v>
      </c>
      <c r="H77" s="19" t="s">
        <v>1928</v>
      </c>
      <c r="I77" s="19" t="s">
        <v>1928</v>
      </c>
      <c r="J77" s="19" t="s">
        <v>1928</v>
      </c>
      <c r="K77" s="19" t="s">
        <v>1928</v>
      </c>
      <c r="L77" s="19" t="s">
        <v>1929</v>
      </c>
      <c r="M77" s="19" t="s">
        <v>1929</v>
      </c>
      <c r="N77" s="19" t="s">
        <v>1929</v>
      </c>
      <c r="O77" s="139" t="s">
        <v>1929</v>
      </c>
      <c r="P77" s="19" t="s">
        <v>1930</v>
      </c>
      <c r="Q77" s="140" t="s">
        <v>1930</v>
      </c>
      <c r="R77" s="19" t="s">
        <v>1930</v>
      </c>
      <c r="S77" s="19" t="s">
        <v>1929</v>
      </c>
      <c r="T77" s="19" t="s">
        <v>1929</v>
      </c>
      <c r="U77" s="19" t="s">
        <v>1929</v>
      </c>
      <c r="V77" s="19" t="s">
        <v>1929</v>
      </c>
      <c r="W77" s="3"/>
      <c r="X77" s="3"/>
      <c r="Y77" s="3"/>
      <c r="Z77" s="3"/>
    </row>
    <row r="78" ht="15.0" customHeight="1">
      <c r="A78" s="27"/>
      <c r="B78" s="29"/>
      <c r="C78" s="10" t="s">
        <v>1931</v>
      </c>
      <c r="D78" s="10" t="s">
        <v>1931</v>
      </c>
      <c r="E78" s="10" t="s">
        <v>1931</v>
      </c>
      <c r="F78" s="10" t="s">
        <v>1931</v>
      </c>
      <c r="G78" s="10" t="s">
        <v>1931</v>
      </c>
      <c r="H78" s="10" t="s">
        <v>1932</v>
      </c>
      <c r="I78" s="10" t="s">
        <v>1932</v>
      </c>
      <c r="J78" s="10" t="s">
        <v>1932</v>
      </c>
      <c r="K78" s="10" t="s">
        <v>1932</v>
      </c>
      <c r="L78" s="10" t="s">
        <v>1344</v>
      </c>
      <c r="M78" s="10" t="s">
        <v>1344</v>
      </c>
      <c r="N78" s="10" t="s">
        <v>1344</v>
      </c>
      <c r="O78" s="4" t="s">
        <v>1344</v>
      </c>
      <c r="P78" s="10" t="s">
        <v>1341</v>
      </c>
      <c r="Q78" s="60" t="s">
        <v>1341</v>
      </c>
      <c r="R78" s="10" t="s">
        <v>1341</v>
      </c>
      <c r="S78" s="10" t="s">
        <v>1344</v>
      </c>
      <c r="T78" s="10" t="s">
        <v>1344</v>
      </c>
      <c r="U78" s="10" t="s">
        <v>1344</v>
      </c>
      <c r="V78" s="10" t="s">
        <v>1344</v>
      </c>
      <c r="W78" s="3"/>
      <c r="X78" s="3"/>
      <c r="Y78" s="3"/>
      <c r="Z78" s="3"/>
    </row>
    <row r="79">
      <c r="A79" s="27"/>
      <c r="B79" s="29"/>
      <c r="C79" s="10" t="s">
        <v>1933</v>
      </c>
      <c r="D79" s="10" t="s">
        <v>1933</v>
      </c>
      <c r="E79" s="10" t="s">
        <v>1933</v>
      </c>
      <c r="F79" s="10" t="s">
        <v>1933</v>
      </c>
      <c r="G79" s="10" t="s">
        <v>1933</v>
      </c>
      <c r="H79" s="10" t="s">
        <v>1934</v>
      </c>
      <c r="I79" s="10" t="s">
        <v>1934</v>
      </c>
      <c r="J79" s="10" t="s">
        <v>1934</v>
      </c>
      <c r="K79" s="10" t="s">
        <v>1934</v>
      </c>
      <c r="L79" s="10" t="s">
        <v>1031</v>
      </c>
      <c r="M79" s="10" t="s">
        <v>1031</v>
      </c>
      <c r="N79" s="10" t="s">
        <v>1031</v>
      </c>
      <c r="O79" s="4" t="s">
        <v>1031</v>
      </c>
      <c r="P79" s="10" t="s">
        <v>105</v>
      </c>
      <c r="Q79" s="60" t="s">
        <v>105</v>
      </c>
      <c r="R79" s="10" t="s">
        <v>105</v>
      </c>
      <c r="S79" s="10" t="s">
        <v>1031</v>
      </c>
      <c r="T79" s="10" t="s">
        <v>1031</v>
      </c>
      <c r="U79" s="10" t="s">
        <v>1031</v>
      </c>
      <c r="V79" s="10" t="s">
        <v>1031</v>
      </c>
      <c r="W79" s="3"/>
      <c r="X79" s="3"/>
      <c r="Y79" s="3"/>
      <c r="Z79" s="3"/>
    </row>
    <row r="80">
      <c r="A80" s="27"/>
      <c r="B80" s="29"/>
      <c r="C80" s="91" t="s">
        <v>1935</v>
      </c>
      <c r="D80" s="91" t="s">
        <v>1936</v>
      </c>
      <c r="E80" s="91" t="s">
        <v>1937</v>
      </c>
      <c r="F80" s="91" t="s">
        <v>1938</v>
      </c>
      <c r="G80" s="288" t="str">
        <f>HYPERLINK("https://www.youtube.com/watch?v=_ZdFklAwpn8","https://www.youtube.com/watch?v=_ZdFklAwpn8")</f>
        <v>https://www.youtube.com/watch?v=_ZdFklAwpn8</v>
      </c>
      <c r="H80" s="91" t="s">
        <v>1939</v>
      </c>
      <c r="I80" s="91" t="s">
        <v>1940</v>
      </c>
      <c r="J80" s="91" t="s">
        <v>1941</v>
      </c>
      <c r="K80" s="91" t="s">
        <v>1942</v>
      </c>
      <c r="L80" s="91" t="s">
        <v>1943</v>
      </c>
      <c r="M80" s="91" t="s">
        <v>1944</v>
      </c>
      <c r="N80" s="91" t="s">
        <v>1945</v>
      </c>
      <c r="O80" s="87" t="s">
        <v>1946</v>
      </c>
      <c r="P80" s="69" t="s">
        <v>1947</v>
      </c>
      <c r="Q80" s="85" t="s">
        <v>1948</v>
      </c>
      <c r="R80" s="91" t="s">
        <v>1949</v>
      </c>
      <c r="S80" s="91" t="s">
        <v>1950</v>
      </c>
      <c r="T80" s="91" t="s">
        <v>1951</v>
      </c>
      <c r="U80" s="91" t="s">
        <v>1952</v>
      </c>
      <c r="V80" s="91" t="s">
        <v>1953</v>
      </c>
      <c r="W80" s="3"/>
      <c r="X80" s="3"/>
      <c r="Y80" s="3"/>
      <c r="Z80" s="3"/>
    </row>
    <row r="81">
      <c r="A81" s="27"/>
      <c r="B81" s="79"/>
      <c r="C81" s="98" t="str">
        <f>HYPERLINK("https://drive.google.com/folderview?id=0BydHLJgPtYsXflgwUnJOY2hnODcxdnNsbFprd25BUTNLUWx3ZHZacFRPc3ZReUN2SDhVdnc&amp;usp=sharing","ดาวน์โหลดเอกสารประกอบ")</f>
        <v>ดาวน์โหลดเอกสารประกอบ</v>
      </c>
      <c r="D81" s="98" t="str">
        <f>HYPERLINK("https://drive.google.com/folderview?id=0BydHLJgPtYsXfndZYlg1UlE1dTdDY1BhVHhoLVpJWHREaGVjQ3RReERZclVBSFpXYVVYSWc&amp;usp=sharing","ดาวน์โหลดเอกสารประกอบ")</f>
        <v>ดาวน์โหลดเอกสารประกอบ</v>
      </c>
      <c r="E81" s="98" t="str">
        <f>HYPERLINK("https://drive.google.com/folderview?id=0BydHLJgPtYsXfnFRVDdfUFg5Z2JMR3pMMG9yX1l3WWZHZXRYY0xIcTFEY0xhMTJraHRvYm8&amp;usp=sharing","ดาวน์โหลดเอกสารประกอบ")</f>
        <v>ดาวน์โหลดเอกสารประกอบ</v>
      </c>
      <c r="F81" s="98" t="str">
        <f>HYPERLINK("https://drive.google.com/folderview?id=0BydHLJgPtYsXfjk3OXBIV21WZ3dOX3F0cEs4eWdNVmdiTWNORVJUczZENVN2aUlZY1JFNHc&amp;usp=sharing","ดาวน์โหลดเอกสารประกอบ")</f>
        <v>ดาวน์โหลดเอกสารประกอบ</v>
      </c>
      <c r="G81" s="98" t="str">
        <f>HYPERLINK("https://drive.google.com/folderview?id=0BydHLJgPtYsXfkQ3VklFV0tNS1VjRzlma21PZFBTY1ktZTVRZGIxMzBTNmtJdmJ3OHRSZDQ&amp;usp=sharing","ดาวน์โหลดเอกสารประกอบ")</f>
        <v>ดาวน์โหลดเอกสารประกอบ</v>
      </c>
      <c r="H81" s="98" t="str">
        <f>HYPERLINK("https://drive.google.com/folderview?id=0B0x_dulH5-nEc1JiS25vV2FzNkk&amp;usp=sharing","ดาวน์โหลดเอกสารประกอบ")</f>
        <v>ดาวน์โหลดเอกสารประกอบ</v>
      </c>
      <c r="I81" s="98" t="str">
        <f>HYPERLINK("https://drive.google.com/folderview?id=0B0x_dulH5-nEcWs5aWNLYU9Ba2M&amp;usp=sharing","ดาวน์โหลดเอกสารประกอบ")</f>
        <v>ดาวน์โหลดเอกสารประกอบ</v>
      </c>
      <c r="J81" s="98" t="str">
        <f>HYPERLINK("https://drive.google.com/folderview?id=0B0x_dulH5-nEY3VoNTV4U1k2WG8&amp;usp=sharing","ดาวน์โหลดเอกสารประกอบ")</f>
        <v>ดาวน์โหลดเอกสารประกอบ</v>
      </c>
      <c r="K81" s="98" t="str">
        <f>HYPERLINK("https://drive.google.com/folderview?id=0B0x_dulH5-nEN182VlpKejJDMVU&amp;usp=sharing","ดาวน์โหลดเอกสารประกอบ")</f>
        <v>ดาวน์โหลดเอกสารประกอบ</v>
      </c>
      <c r="L81" s="152" t="s">
        <v>31</v>
      </c>
      <c r="M81" s="152" t="s">
        <v>31</v>
      </c>
      <c r="N81" s="152" t="s">
        <v>31</v>
      </c>
      <c r="O81" s="213" t="s">
        <v>31</v>
      </c>
      <c r="P81" s="94" t="s">
        <v>31</v>
      </c>
      <c r="Q81" s="164" t="s">
        <v>31</v>
      </c>
      <c r="R81" s="152" t="s">
        <v>31</v>
      </c>
      <c r="S81" s="152" t="s">
        <v>31</v>
      </c>
      <c r="T81" s="152" t="s">
        <v>31</v>
      </c>
      <c r="U81" s="152" t="s">
        <v>31</v>
      </c>
      <c r="V81" s="152" t="s">
        <v>31</v>
      </c>
      <c r="W81" s="3"/>
      <c r="X81" s="3"/>
      <c r="Y81" s="3"/>
      <c r="Z81" s="3"/>
    </row>
    <row r="82">
      <c r="A82" s="27"/>
      <c r="B82" s="5" t="s">
        <v>3</v>
      </c>
      <c r="C82" s="5" t="s">
        <v>4</v>
      </c>
      <c r="D82" s="12" t="s">
        <v>5</v>
      </c>
      <c r="E82" s="7" t="s">
        <v>6</v>
      </c>
      <c r="F82" s="7" t="s">
        <v>8</v>
      </c>
      <c r="G82" s="5" t="s">
        <v>9</v>
      </c>
      <c r="H82" s="7" t="s">
        <v>10</v>
      </c>
      <c r="I82" s="5" t="s">
        <v>11</v>
      </c>
      <c r="J82" s="5" t="s">
        <v>12</v>
      </c>
      <c r="K82" s="5" t="s">
        <v>13</v>
      </c>
      <c r="L82" s="5" t="s">
        <v>14</v>
      </c>
      <c r="M82" s="5" t="s">
        <v>15</v>
      </c>
      <c r="N82" s="5" t="s">
        <v>16</v>
      </c>
      <c r="O82" s="14" t="s">
        <v>17</v>
      </c>
      <c r="P82" s="242" t="s">
        <v>18</v>
      </c>
      <c r="Q82" s="12" t="s">
        <v>19</v>
      </c>
      <c r="R82" s="5" t="s">
        <v>20</v>
      </c>
      <c r="S82" s="5" t="s">
        <v>21</v>
      </c>
      <c r="T82" s="5" t="s">
        <v>22</v>
      </c>
      <c r="U82" s="5" t="s">
        <v>23</v>
      </c>
      <c r="V82" s="5" t="s">
        <v>24</v>
      </c>
      <c r="W82" s="3"/>
      <c r="X82" s="3"/>
      <c r="Y82" s="3"/>
      <c r="Z82" s="3"/>
    </row>
    <row r="83" ht="15.0" customHeight="1">
      <c r="A83" s="27"/>
      <c r="B83" s="13" t="s">
        <v>1954</v>
      </c>
      <c r="C83" s="19" t="s">
        <v>1743</v>
      </c>
      <c r="D83" s="139" t="s">
        <v>1743</v>
      </c>
      <c r="E83" s="28" t="s">
        <v>1743</v>
      </c>
      <c r="F83" s="21" t="s">
        <v>1743</v>
      </c>
      <c r="G83" s="194" t="s">
        <v>1743</v>
      </c>
      <c r="H83" s="21" t="s">
        <v>1743</v>
      </c>
      <c r="I83" s="140" t="s">
        <v>1743</v>
      </c>
      <c r="J83" s="19" t="s">
        <v>1743</v>
      </c>
      <c r="K83" s="19" t="s">
        <v>1743</v>
      </c>
      <c r="L83" s="19" t="s">
        <v>1570</v>
      </c>
      <c r="M83" s="19" t="s">
        <v>1570</v>
      </c>
      <c r="N83" s="19" t="s">
        <v>1570</v>
      </c>
      <c r="O83" s="139" t="s">
        <v>1570</v>
      </c>
      <c r="P83" s="19" t="s">
        <v>1570</v>
      </c>
      <c r="Q83" s="140" t="s">
        <v>1570</v>
      </c>
      <c r="R83" s="10"/>
      <c r="S83" s="10"/>
      <c r="T83" s="10"/>
      <c r="U83" s="10"/>
      <c r="V83" s="10"/>
      <c r="W83" s="3"/>
      <c r="X83" s="3"/>
      <c r="Y83" s="3"/>
      <c r="Z83" s="3"/>
    </row>
    <row r="84" ht="30.0" customHeight="1">
      <c r="A84" s="27"/>
      <c r="B84" s="29"/>
      <c r="C84" s="34" t="str">
        <f>HYPERLINK("https://www.youtube.com/watch?v=5eBWDMrRwXg","อนุภาคมูลฐานของอะตอม ตอน 1")</f>
        <v>อนุภาคมูลฐานของอะตอม ตอน 1</v>
      </c>
      <c r="D84" s="37" t="str">
        <f>HYPERLINK("https://www.youtube.com/watch?v=fsDO6TzvhUY","อนุภาคมูลฐานของอะตอม  ตอน 2")</f>
        <v>อนุภาคมูลฐานของอะตอม  ตอน 2</v>
      </c>
      <c r="E84" s="37" t="str">
        <f>HYPERLINK("https://www.youtube.com/watch?v=A5F0Y7HbFqk","การจัดเรียงอิเล็กตรอนในอะตอมธาตุบางชนิด")</f>
        <v>การจัดเรียงอิเล็กตรอนในอะตอมธาตุบางชนิด</v>
      </c>
      <c r="F84" s="39" t="str">
        <f>HYPERLINK("https://www.youtube.com/watch?v=89j9eriT7k0","ตารางธาตุ")</f>
        <v>ตารางธาตุ</v>
      </c>
      <c r="G84" s="57" t="s">
        <v>1955</v>
      </c>
      <c r="H84" s="55" t="s">
        <v>1956</v>
      </c>
      <c r="I84" s="48" t="s">
        <v>1957</v>
      </c>
      <c r="J84" s="46" t="s">
        <v>1958</v>
      </c>
      <c r="K84" s="46" t="s">
        <v>1959</v>
      </c>
      <c r="L84" s="46" t="s">
        <v>1960</v>
      </c>
      <c r="M84" s="46" t="s">
        <v>1961</v>
      </c>
      <c r="N84" s="46" t="s">
        <v>1962</v>
      </c>
      <c r="O84" s="44" t="s">
        <v>1963</v>
      </c>
      <c r="P84" s="46" t="s">
        <v>1964</v>
      </c>
      <c r="Q84" s="42" t="s">
        <v>1965</v>
      </c>
      <c r="R84" s="10" t="s">
        <v>31</v>
      </c>
      <c r="S84" s="50" t="s">
        <v>31</v>
      </c>
      <c r="T84" s="10" t="s">
        <v>31</v>
      </c>
      <c r="U84" s="10" t="s">
        <v>31</v>
      </c>
      <c r="V84" s="10" t="s">
        <v>31</v>
      </c>
      <c r="W84" s="3"/>
      <c r="X84" s="3"/>
      <c r="Y84" s="3"/>
      <c r="Z84" s="3"/>
    </row>
    <row r="85" ht="15.0" customHeight="1">
      <c r="A85" s="27"/>
      <c r="B85" s="29"/>
      <c r="C85" s="10" t="s">
        <v>1966</v>
      </c>
      <c r="D85" s="4" t="s">
        <v>1966</v>
      </c>
      <c r="E85" s="4" t="s">
        <v>1967</v>
      </c>
      <c r="F85" s="10" t="s">
        <v>1968</v>
      </c>
      <c r="G85" s="52" t="s">
        <v>1969</v>
      </c>
      <c r="H85" s="52" t="s">
        <v>1969</v>
      </c>
      <c r="I85" s="52" t="s">
        <v>1969</v>
      </c>
      <c r="J85" s="75" t="s">
        <v>1970</v>
      </c>
      <c r="K85" s="75" t="s">
        <v>1970</v>
      </c>
      <c r="L85" s="10" t="s">
        <v>1773</v>
      </c>
      <c r="M85" s="10" t="s">
        <v>1773</v>
      </c>
      <c r="N85" s="10" t="s">
        <v>1773</v>
      </c>
      <c r="O85" s="202" t="s">
        <v>1971</v>
      </c>
      <c r="P85" s="202" t="s">
        <v>1971</v>
      </c>
      <c r="Q85" s="202" t="s">
        <v>1971</v>
      </c>
      <c r="R85" s="10"/>
      <c r="S85" s="10"/>
      <c r="T85" s="10"/>
      <c r="U85" s="10"/>
      <c r="V85" s="10"/>
      <c r="W85" s="3"/>
      <c r="X85" s="3"/>
      <c r="Y85" s="3"/>
      <c r="Z85" s="3"/>
    </row>
    <row r="86" ht="15.0" customHeight="1">
      <c r="A86" s="27"/>
      <c r="B86" s="29"/>
      <c r="C86" s="10" t="s">
        <v>1009</v>
      </c>
      <c r="D86" s="4" t="s">
        <v>1009</v>
      </c>
      <c r="E86" s="4" t="s">
        <v>1972</v>
      </c>
      <c r="F86" s="10" t="s">
        <v>1973</v>
      </c>
      <c r="G86" s="64" t="s">
        <v>1974</v>
      </c>
      <c r="H86" s="64" t="s">
        <v>1974</v>
      </c>
      <c r="I86" s="64" t="s">
        <v>1974</v>
      </c>
      <c r="J86" s="66" t="s">
        <v>1975</v>
      </c>
      <c r="K86" s="66" t="s">
        <v>1975</v>
      </c>
      <c r="L86" s="10" t="s">
        <v>1777</v>
      </c>
      <c r="M86" s="10" t="s">
        <v>1777</v>
      </c>
      <c r="N86" s="10" t="s">
        <v>1777</v>
      </c>
      <c r="O86" s="202" t="s">
        <v>1976</v>
      </c>
      <c r="P86" s="202" t="s">
        <v>1976</v>
      </c>
      <c r="Q86" s="202" t="s">
        <v>1976</v>
      </c>
      <c r="R86" s="10"/>
      <c r="S86" s="10"/>
      <c r="T86" s="10"/>
      <c r="U86" s="10"/>
      <c r="V86" s="10"/>
      <c r="W86" s="3"/>
      <c r="X86" s="3"/>
      <c r="Y86" s="3"/>
      <c r="Z86" s="3"/>
    </row>
    <row r="87" ht="15.0" customHeight="1">
      <c r="A87" s="27"/>
      <c r="B87" s="29"/>
      <c r="C87" s="10" t="s">
        <v>1106</v>
      </c>
      <c r="D87" s="4" t="s">
        <v>1106</v>
      </c>
      <c r="E87" s="4" t="s">
        <v>1012</v>
      </c>
      <c r="F87" s="10" t="s">
        <v>1106</v>
      </c>
      <c r="G87" s="52" t="s">
        <v>1740</v>
      </c>
      <c r="H87" s="52" t="s">
        <v>1740</v>
      </c>
      <c r="I87" s="52" t="s">
        <v>1740</v>
      </c>
      <c r="J87" s="75" t="s">
        <v>877</v>
      </c>
      <c r="K87" s="75" t="s">
        <v>877</v>
      </c>
      <c r="L87" s="10" t="s">
        <v>128</v>
      </c>
      <c r="M87" s="10" t="s">
        <v>128</v>
      </c>
      <c r="N87" s="10" t="s">
        <v>128</v>
      </c>
      <c r="O87" s="202" t="s">
        <v>1934</v>
      </c>
      <c r="P87" s="202" t="s">
        <v>1934</v>
      </c>
      <c r="Q87" s="202" t="s">
        <v>1934</v>
      </c>
      <c r="R87" s="10"/>
      <c r="S87" s="10"/>
      <c r="T87" s="10"/>
      <c r="U87" s="10"/>
      <c r="V87" s="10"/>
      <c r="W87" s="3"/>
      <c r="X87" s="3"/>
      <c r="Y87" s="3"/>
      <c r="Z87" s="3"/>
    </row>
    <row r="88" ht="14.25" customHeight="1">
      <c r="A88" s="27"/>
      <c r="B88" s="29"/>
      <c r="C88" s="91" t="s">
        <v>1977</v>
      </c>
      <c r="D88" s="87" t="s">
        <v>1978</v>
      </c>
      <c r="E88" s="289" t="str">
        <f>HYPERLINK("https://www.youtube.com/watch?v=A5F0Y7HbFqk","https://www.youtube.com/watch?v=A5F0Y7HbFqk")</f>
        <v>https://www.youtube.com/watch?v=A5F0Y7HbFqk</v>
      </c>
      <c r="F88" s="290" t="str">
        <f>HYPERLINK("https://www.youtube.com/watch?v=89j9eriT7k0","https://www.youtube.com/watch?v=89j9eriT7k0")</f>
        <v>https://www.youtube.com/watch?v=89j9eriT7k0</v>
      </c>
      <c r="G88" s="241" t="s">
        <v>1979</v>
      </c>
      <c r="H88" s="291" t="s">
        <v>1980</v>
      </c>
      <c r="I88" s="237" t="s">
        <v>1981</v>
      </c>
      <c r="J88" s="291" t="s">
        <v>1982</v>
      </c>
      <c r="K88" s="237" t="s">
        <v>1983</v>
      </c>
      <c r="L88" s="91" t="s">
        <v>1984</v>
      </c>
      <c r="M88" s="91" t="s">
        <v>1985</v>
      </c>
      <c r="N88" s="91" t="s">
        <v>1986</v>
      </c>
      <c r="O88" s="87" t="s">
        <v>1987</v>
      </c>
      <c r="P88" s="69" t="s">
        <v>1988</v>
      </c>
      <c r="Q88" s="85" t="s">
        <v>1989</v>
      </c>
      <c r="R88" s="211"/>
      <c r="S88" s="211"/>
      <c r="T88" s="211"/>
      <c r="U88" s="211"/>
      <c r="V88" s="211"/>
      <c r="W88" s="3"/>
      <c r="X88" s="3"/>
      <c r="Y88" s="3"/>
      <c r="Z88" s="3"/>
    </row>
    <row r="89" ht="14.25" customHeight="1">
      <c r="A89" s="27"/>
      <c r="B89" s="79"/>
      <c r="C89" s="98" t="str">
        <f>HYPERLINK("https://drive.google.com/folderview?id=0B4mky1MMW8dYfmVTdnZUNHN6bVdKS0xIUk8zS0U1TzJLMnh4blFhNExtVS1XODh3LWVOWkE&amp;usp=sharing","ดาวน์โหลดเอกสารประกอบ")</f>
        <v>ดาวน์โหลดเอกสารประกอบ</v>
      </c>
      <c r="D89" s="98" t="str">
        <f>HYPERLINK("https://drive.google.com/folderview?id=0B4mky1MMW8dYfkR3SnROV1p5VnlySVVwbzB6YUF2cEVpN2xCNzFqZ3A3Z0FUMnFDY1ZsNXM&amp;usp=sharing","ดาวน์โหลดเอกสารประกอบ")</f>
        <v>ดาวน์โหลดเอกสารประกอบ</v>
      </c>
      <c r="E89" s="152" t="s">
        <v>31</v>
      </c>
      <c r="F89" s="152" t="s">
        <v>31</v>
      </c>
      <c r="G89" s="213" t="s">
        <v>31</v>
      </c>
      <c r="H89" s="94" t="s">
        <v>31</v>
      </c>
      <c r="I89" s="94" t="s">
        <v>31</v>
      </c>
      <c r="J89" s="152" t="s">
        <v>31</v>
      </c>
      <c r="K89" s="152" t="s">
        <v>31</v>
      </c>
      <c r="L89" s="152" t="s">
        <v>31</v>
      </c>
      <c r="M89" s="152" t="s">
        <v>31</v>
      </c>
      <c r="N89" s="152" t="s">
        <v>31</v>
      </c>
      <c r="O89" s="213" t="s">
        <v>31</v>
      </c>
      <c r="P89" s="246" t="str">
        <f>HYPERLINK("https://drive.google.com/folderview?id=0B4mky1MMW8dYNFViTzhXUXowY1U&amp;usp=sharing","ดาวน์โหลดเอกสารประกอบ")</f>
        <v>ดาวน์โหลดเอกสารประกอบ</v>
      </c>
      <c r="Q89" s="110" t="str">
        <f>HYPERLINK("https://drive.google.com/folderview?id=0B4mky1MMW8dYVEFLbjV6VXJEVHc&amp;usp=sharing","ดาวน์โหลดเอกสารประกอบ")</f>
        <v>ดาวน์โหลดเอกสารประกอบ</v>
      </c>
      <c r="R89" s="152" t="s">
        <v>195</v>
      </c>
      <c r="S89" s="265" t="str">
        <f>HYPERLINK("https://drive.google.com/folderview?id=0B0x_dulH5-nEYzJndERWbjVsb1k&amp;usp=sharing","ดาวน์โหลดเอกสารประกอบ")</f>
        <v>ดาวน์โหลดเอกสารประกอบ</v>
      </c>
      <c r="T89" s="152" t="s">
        <v>195</v>
      </c>
      <c r="U89" s="152" t="s">
        <v>195</v>
      </c>
      <c r="V89" s="152" t="s">
        <v>195</v>
      </c>
      <c r="W89" s="3"/>
      <c r="X89" s="3"/>
      <c r="Y89" s="3"/>
      <c r="Z89" s="3"/>
    </row>
    <row r="90" ht="13.5" customHeight="1">
      <c r="A90" s="27"/>
      <c r="B90" s="5" t="s">
        <v>3</v>
      </c>
      <c r="C90" s="5" t="s">
        <v>4</v>
      </c>
      <c r="D90" s="6" t="s">
        <v>5</v>
      </c>
      <c r="E90" s="242" t="s">
        <v>6</v>
      </c>
      <c r="F90" s="117" t="s">
        <v>8</v>
      </c>
      <c r="G90" s="5" t="s">
        <v>9</v>
      </c>
      <c r="H90" s="117" t="s">
        <v>10</v>
      </c>
      <c r="I90" s="5" t="s">
        <v>11</v>
      </c>
      <c r="J90" s="5" t="s">
        <v>12</v>
      </c>
      <c r="K90" s="5" t="s">
        <v>13</v>
      </c>
      <c r="L90" s="5" t="s">
        <v>14</v>
      </c>
      <c r="M90" s="5" t="s">
        <v>15</v>
      </c>
      <c r="N90" s="5" t="s">
        <v>16</v>
      </c>
      <c r="O90" s="14" t="s">
        <v>17</v>
      </c>
      <c r="P90" s="242" t="s">
        <v>18</v>
      </c>
      <c r="Q90" s="12" t="s">
        <v>19</v>
      </c>
      <c r="R90" s="5" t="s">
        <v>20</v>
      </c>
      <c r="S90" s="5" t="s">
        <v>21</v>
      </c>
      <c r="T90" s="5" t="s">
        <v>22</v>
      </c>
      <c r="U90" s="5" t="s">
        <v>23</v>
      </c>
      <c r="V90" s="5" t="s">
        <v>24</v>
      </c>
      <c r="W90" s="3"/>
      <c r="X90" s="3"/>
      <c r="Y90" s="3"/>
      <c r="Z90" s="3"/>
    </row>
    <row r="91" ht="13.5" customHeight="1">
      <c r="A91" s="27"/>
      <c r="B91" s="13" t="s">
        <v>1990</v>
      </c>
      <c r="C91" s="139" t="s">
        <v>788</v>
      </c>
      <c r="D91" s="28" t="s">
        <v>788</v>
      </c>
      <c r="E91" s="21" t="s">
        <v>788</v>
      </c>
      <c r="F91" s="140" t="s">
        <v>788</v>
      </c>
      <c r="G91" s="19" t="s">
        <v>788</v>
      </c>
      <c r="H91" s="19"/>
      <c r="I91" s="19" t="s">
        <v>792</v>
      </c>
      <c r="J91" s="19"/>
      <c r="K91" s="19"/>
      <c r="L91" s="19"/>
      <c r="M91" s="19"/>
      <c r="N91" s="19" t="s">
        <v>1108</v>
      </c>
      <c r="O91" s="139" t="s">
        <v>1109</v>
      </c>
      <c r="P91" s="10"/>
      <c r="Q91" s="60"/>
      <c r="R91" s="10"/>
      <c r="S91" s="10"/>
      <c r="T91" s="10"/>
      <c r="U91" s="10"/>
      <c r="V91" s="10"/>
      <c r="W91" s="3"/>
      <c r="X91" s="3"/>
      <c r="Y91" s="3"/>
      <c r="Z91" s="3"/>
    </row>
    <row r="92" ht="90.0" customHeight="1">
      <c r="A92" s="27"/>
      <c r="B92" s="29"/>
      <c r="C92" s="292" t="str">
        <f>HYPERLINK("https://www.youtube.com/watch?v=FRksAjZ7GzY","โครงสร้างของเซลล์ (โครงสร้างของเยื่อหุ้มเซลล์)")</f>
        <v>โครงสร้างของเซลล์ (โครงสร้างของเยื่อหุ้มเซลล์)</v>
      </c>
      <c r="D92" s="292" t="str">
        <f>HYPERLINK("https://www.youtube.com/watch?v=V5vO2YqxNck","การลำเลียงสารโดยไม่ผ่านเยื่อหุ้มเซลล์")</f>
        <v>การลำเลียงสารโดยไม่ผ่านเยื่อหุ้มเซลล์</v>
      </c>
      <c r="E92" s="293" t="str">
        <f>HYPERLINK("https://www.youtube.com/watch?v=PPqN91_1Tx8","การออสโมซิส")</f>
        <v>การออสโมซิส</v>
      </c>
      <c r="F92" s="42" t="s">
        <v>1991</v>
      </c>
      <c r="G92" s="55" t="s">
        <v>1992</v>
      </c>
      <c r="H92" s="55" t="s">
        <v>1993</v>
      </c>
      <c r="I92" s="46" t="s">
        <v>1994</v>
      </c>
      <c r="J92" s="55" t="s">
        <v>1995</v>
      </c>
      <c r="K92" s="46" t="s">
        <v>1996</v>
      </c>
      <c r="L92" s="46" t="s">
        <v>1997</v>
      </c>
      <c r="M92" s="55" t="s">
        <v>1998</v>
      </c>
      <c r="N92" s="294" t="s">
        <v>1999</v>
      </c>
      <c r="O92" s="200" t="s">
        <v>2000</v>
      </c>
      <c r="P92" s="295" t="s">
        <v>2001</v>
      </c>
      <c r="Q92" s="48" t="s">
        <v>2002</v>
      </c>
      <c r="R92" s="50" t="s">
        <v>2003</v>
      </c>
      <c r="S92" s="50"/>
      <c r="T92" s="10" t="s">
        <v>31</v>
      </c>
      <c r="U92" s="10" t="s">
        <v>31</v>
      </c>
      <c r="V92" s="10" t="s">
        <v>31</v>
      </c>
      <c r="W92" s="3"/>
      <c r="X92" s="3"/>
      <c r="Y92" s="3"/>
      <c r="Z92" s="3"/>
    </row>
    <row r="93">
      <c r="A93" s="27"/>
      <c r="B93" s="29"/>
      <c r="C93" s="4" t="s">
        <v>2004</v>
      </c>
      <c r="D93" s="4" t="s">
        <v>2005</v>
      </c>
      <c r="E93" s="10" t="s">
        <v>2005</v>
      </c>
      <c r="F93" s="60" t="s">
        <v>2006</v>
      </c>
      <c r="G93" s="75" t="s">
        <v>2007</v>
      </c>
      <c r="H93" s="75" t="s">
        <v>2007</v>
      </c>
      <c r="I93" s="10" t="s">
        <v>2004</v>
      </c>
      <c r="J93" s="10" t="s">
        <v>2007</v>
      </c>
      <c r="K93" s="75" t="s">
        <v>2007</v>
      </c>
      <c r="L93" s="10" t="s">
        <v>2004</v>
      </c>
      <c r="M93" s="296" t="s">
        <v>2008</v>
      </c>
      <c r="N93" s="296" t="s">
        <v>2009</v>
      </c>
      <c r="O93" s="296" t="s">
        <v>2008</v>
      </c>
      <c r="P93" s="296" t="s">
        <v>2009</v>
      </c>
      <c r="Q93" s="10" t="s">
        <v>2007</v>
      </c>
      <c r="R93" s="10" t="s">
        <v>2007</v>
      </c>
      <c r="S93" s="10"/>
      <c r="T93" s="10"/>
      <c r="U93" s="10"/>
      <c r="V93" s="10"/>
      <c r="W93" s="3"/>
      <c r="X93" s="3"/>
      <c r="Y93" s="3"/>
      <c r="Z93" s="3"/>
    </row>
    <row r="94">
      <c r="A94" s="27"/>
      <c r="B94" s="29"/>
      <c r="C94" s="4" t="s">
        <v>2010</v>
      </c>
      <c r="D94" s="4" t="s">
        <v>1105</v>
      </c>
      <c r="E94" s="10" t="s">
        <v>1105</v>
      </c>
      <c r="F94" s="60" t="s">
        <v>1341</v>
      </c>
      <c r="G94" s="10" t="s">
        <v>2011</v>
      </c>
      <c r="H94" s="10" t="s">
        <v>2011</v>
      </c>
      <c r="I94" s="10" t="s">
        <v>2010</v>
      </c>
      <c r="J94" s="10" t="s">
        <v>2011</v>
      </c>
      <c r="K94" s="10" t="s">
        <v>2011</v>
      </c>
      <c r="L94" s="10" t="s">
        <v>2010</v>
      </c>
      <c r="M94" s="297" t="s">
        <v>2012</v>
      </c>
      <c r="N94" s="297" t="s">
        <v>2013</v>
      </c>
      <c r="O94" s="297" t="s">
        <v>2012</v>
      </c>
      <c r="P94" s="297" t="s">
        <v>2013</v>
      </c>
      <c r="Q94" s="10" t="s">
        <v>2011</v>
      </c>
      <c r="R94" s="10" t="s">
        <v>2011</v>
      </c>
      <c r="S94" s="10"/>
      <c r="T94" s="10"/>
      <c r="U94" s="10"/>
      <c r="V94" s="10"/>
      <c r="W94" s="3"/>
      <c r="X94" s="3"/>
      <c r="Y94" s="3"/>
      <c r="Z94" s="3"/>
    </row>
    <row r="95">
      <c r="A95" s="27"/>
      <c r="B95" s="29"/>
      <c r="C95" s="4" t="s">
        <v>234</v>
      </c>
      <c r="D95" s="4" t="s">
        <v>105</v>
      </c>
      <c r="E95" s="10" t="s">
        <v>105</v>
      </c>
      <c r="F95" s="60" t="s">
        <v>105</v>
      </c>
      <c r="G95" s="10" t="s">
        <v>2014</v>
      </c>
      <c r="H95" s="10" t="s">
        <v>2014</v>
      </c>
      <c r="I95" s="10" t="s">
        <v>234</v>
      </c>
      <c r="J95" s="10" t="s">
        <v>2014</v>
      </c>
      <c r="K95" s="10" t="s">
        <v>2014</v>
      </c>
      <c r="L95" s="10" t="s">
        <v>234</v>
      </c>
      <c r="M95" s="296" t="s">
        <v>105</v>
      </c>
      <c r="N95" s="296" t="s">
        <v>1012</v>
      </c>
      <c r="O95" s="296" t="s">
        <v>105</v>
      </c>
      <c r="P95" s="296" t="s">
        <v>1012</v>
      </c>
      <c r="Q95" s="10" t="s">
        <v>2014</v>
      </c>
      <c r="R95" s="10" t="s">
        <v>2014</v>
      </c>
      <c r="S95" s="10"/>
      <c r="T95" s="10"/>
      <c r="U95" s="10"/>
      <c r="V95" s="10"/>
      <c r="W95" s="3"/>
      <c r="X95" s="3"/>
      <c r="Y95" s="3"/>
      <c r="Z95" s="3"/>
    </row>
    <row r="96">
      <c r="A96" s="27"/>
      <c r="B96" s="29"/>
      <c r="C96" s="106" t="s">
        <v>2015</v>
      </c>
      <c r="D96" s="289" t="str">
        <f>HYPERLINK("https://www.youtube.com/watch?v=V5vO2YqxNck","https://www.youtube.com/watch?v=V5vO2YqxNck")</f>
        <v>https://www.youtube.com/watch?v=V5vO2YqxNck</v>
      </c>
      <c r="E96" s="290" t="str">
        <f>HYPERLINK("https://www.youtube.com/watch?v=PPqN91_1Tx8","https://www.youtube.com/watch?v=PPqN91_1Tx8")</f>
        <v>https://www.youtube.com/watch?v=PPqN91_1Tx8</v>
      </c>
      <c r="F96" s="85" t="s">
        <v>2016</v>
      </c>
      <c r="G96" s="91" t="s">
        <v>2017</v>
      </c>
      <c r="H96" s="91" t="s">
        <v>2018</v>
      </c>
      <c r="I96" s="91" t="s">
        <v>2019</v>
      </c>
      <c r="J96" s="91" t="s">
        <v>2020</v>
      </c>
      <c r="K96" s="91" t="s">
        <v>2021</v>
      </c>
      <c r="L96" s="91" t="s">
        <v>2022</v>
      </c>
      <c r="M96" s="91" t="s">
        <v>2023</v>
      </c>
      <c r="N96" s="91" t="s">
        <v>2024</v>
      </c>
      <c r="O96" s="87" t="s">
        <v>2025</v>
      </c>
      <c r="P96" s="69" t="s">
        <v>2026</v>
      </c>
      <c r="Q96" s="85" t="s">
        <v>2027</v>
      </c>
      <c r="R96" s="91" t="s">
        <v>2028</v>
      </c>
      <c r="S96" s="211"/>
      <c r="T96" s="211"/>
      <c r="U96" s="211"/>
      <c r="V96" s="211"/>
      <c r="W96" s="3"/>
      <c r="X96" s="3"/>
      <c r="Y96" s="3"/>
      <c r="Z96" s="3"/>
    </row>
    <row r="97">
      <c r="A97" s="27"/>
      <c r="B97" s="79"/>
      <c r="C97" s="152" t="s">
        <v>31</v>
      </c>
      <c r="D97" s="98" t="str">
        <f>HYPERLINK("https://drive.google.com/folderview?id=0B4mky1MMW8dYfko3UXRUZ0ZSVGZTQmJfT3lfLUJkWUF6M3FsQ2lha1BEajVtRlNyWmNONkU&amp;usp=sharing","ดาวน์โหลดเอกสารประกอบ")</f>
        <v>ดาวน์โหลดเอกสารประกอบ</v>
      </c>
      <c r="E97" s="98" t="str">
        <f>HYPERLINK("https://drive.google.com/folderview?id=0B4mky1MMW8dYflR4bllzSFFtUWdsSjN2bmVhakFVTGRuQUs5VGk1eExFeFFOMjBYNDJwQ2M&amp;usp=sharing","ดาวน์โหลดเอกสารประกอบ")</f>
        <v>ดาวน์โหลดเอกสารประกอบ</v>
      </c>
      <c r="F97" s="152" t="s">
        <v>195</v>
      </c>
      <c r="G97" s="98" t="str">
        <f>HYPERLINK("https://drive.google.com/folderview?id=0BxI2QWxfwdKvfmQ3NEpEdWQzVjFfVTlLdXd3Z0lpTWhqV2hmTS1xa1dYTEpqb1VSbDUyS28&amp;usp=sharing","ดาวน์โหลดเอกสารประกอบ")</f>
        <v>ดาวน์โหลดเอกสารประกอบ</v>
      </c>
      <c r="H97" s="152" t="s">
        <v>31</v>
      </c>
      <c r="I97" s="152" t="s">
        <v>31</v>
      </c>
      <c r="J97" s="152" t="s">
        <v>31</v>
      </c>
      <c r="K97" s="152" t="s">
        <v>195</v>
      </c>
      <c r="L97" s="152" t="s">
        <v>31</v>
      </c>
      <c r="M97" s="98" t="str">
        <f>HYPERLINK("https://drive.google.com/folderview?id=0B4mky1MMW8dYfk1nRmNXU2txanFoMHRFN29JNmg3clVIZ0x3dHgtQl90MEF3ejBsXzlxLUU&amp;usp=sharing","ดาวน์โหลดเอกสารประกอบ")</f>
        <v>ดาวน์โหลดเอกสารประกอบ</v>
      </c>
      <c r="N97" s="213" t="s">
        <v>31</v>
      </c>
      <c r="O97" s="106" t="str">
        <f>HYPERLINK("https://drive.google.com/folderview?id=0B4mky1MMW8dYfmJJc0dWeVBPZ2x2WEZGWTJmNnNFbUZSZEEtNzR5ZW5EZGhPN0syOHFIREk&amp;usp=sharing","ดาวน์โหลดเอกสารประกอบ")</f>
        <v>ดาวน์โหลดเอกสารประกอบ</v>
      </c>
      <c r="P97" s="213" t="s">
        <v>31</v>
      </c>
      <c r="Q97" s="164" t="s">
        <v>31</v>
      </c>
      <c r="R97" s="98" t="str">
        <f>HYPERLINK("https://drive.google.com/folderview?id=0B0x_dulH5-nEYzJndERWbjVsb1k&amp;usp=sharing","ดาวน์โหลดเอกสารประกอบ")</f>
        <v>ดาวน์โหลดเอกสารประกอบ</v>
      </c>
      <c r="S97" s="152" t="s">
        <v>195</v>
      </c>
      <c r="T97" s="152" t="s">
        <v>195</v>
      </c>
      <c r="U97" s="152" t="s">
        <v>195</v>
      </c>
      <c r="V97" s="152" t="s">
        <v>195</v>
      </c>
      <c r="W97" s="3"/>
      <c r="X97" s="3"/>
      <c r="Y97" s="3"/>
      <c r="Z97" s="3"/>
    </row>
    <row r="98">
      <c r="A98" s="27"/>
      <c r="B98" s="5" t="s">
        <v>3</v>
      </c>
      <c r="C98" s="5" t="s">
        <v>4</v>
      </c>
      <c r="D98" s="119" t="s">
        <v>5</v>
      </c>
      <c r="E98" s="117" t="s">
        <v>6</v>
      </c>
      <c r="F98" s="5" t="s">
        <v>8</v>
      </c>
      <c r="G98" s="5" t="s">
        <v>9</v>
      </c>
      <c r="H98" s="5" t="s">
        <v>10</v>
      </c>
      <c r="I98" s="5" t="s">
        <v>11</v>
      </c>
      <c r="J98" s="5" t="s">
        <v>12</v>
      </c>
      <c r="K98" s="5" t="s">
        <v>13</v>
      </c>
      <c r="L98" s="5" t="s">
        <v>14</v>
      </c>
      <c r="M98" s="5" t="s">
        <v>15</v>
      </c>
      <c r="N98" s="5" t="s">
        <v>16</v>
      </c>
      <c r="O98" s="14" t="s">
        <v>17</v>
      </c>
      <c r="P98" s="5" t="s">
        <v>18</v>
      </c>
      <c r="Q98" s="12" t="s">
        <v>19</v>
      </c>
      <c r="R98" s="5" t="s">
        <v>20</v>
      </c>
      <c r="S98" s="5" t="s">
        <v>21</v>
      </c>
      <c r="T98" s="5" t="s">
        <v>22</v>
      </c>
      <c r="U98" s="5" t="s">
        <v>23</v>
      </c>
      <c r="V98" s="5" t="s">
        <v>24</v>
      </c>
      <c r="W98" s="3"/>
      <c r="X98" s="3"/>
      <c r="Y98" s="3"/>
      <c r="Z98" s="3"/>
    </row>
    <row r="99" ht="15.0" customHeight="1">
      <c r="A99" s="27"/>
      <c r="B99" s="298" t="s">
        <v>2029</v>
      </c>
      <c r="C99" s="19" t="s">
        <v>941</v>
      </c>
      <c r="D99" s="19" t="s">
        <v>941</v>
      </c>
      <c r="E99" s="19" t="s">
        <v>941</v>
      </c>
      <c r="F99" s="19" t="s">
        <v>941</v>
      </c>
      <c r="G99" s="19" t="s">
        <v>941</v>
      </c>
      <c r="H99" s="19" t="s">
        <v>1855</v>
      </c>
      <c r="I99" s="19" t="s">
        <v>1855</v>
      </c>
      <c r="J99" s="19" t="s">
        <v>1855</v>
      </c>
      <c r="K99" s="19" t="s">
        <v>1855</v>
      </c>
      <c r="L99" s="19" t="s">
        <v>1855</v>
      </c>
      <c r="M99" s="19" t="s">
        <v>1855</v>
      </c>
      <c r="N99" s="19" t="s">
        <v>2030</v>
      </c>
      <c r="O99" s="139"/>
      <c r="P99" s="19" t="s">
        <v>2030</v>
      </c>
      <c r="Q99" s="140" t="s">
        <v>2030</v>
      </c>
      <c r="R99" s="10"/>
      <c r="S99" s="10"/>
      <c r="T99" s="10"/>
      <c r="U99" s="10"/>
      <c r="V99" s="10"/>
      <c r="W99" s="3"/>
      <c r="X99" s="3"/>
      <c r="Y99" s="3"/>
      <c r="Z99" s="3"/>
    </row>
    <row r="100" ht="60.0" customHeight="1">
      <c r="A100" s="27"/>
      <c r="B100" s="29"/>
      <c r="C100" s="34" t="str">
        <f>HYPERLINK("https://www.youtube.com/watch?v=azugOoboN0s","โครงสร้างโลก")</f>
        <v>โครงสร้างโลก</v>
      </c>
      <c r="D100" s="34" t="str">
        <f>HYPERLINK("https://www.youtube.com/watch?v=cd2YRvxMmSY","การเคลื่อนที่ของแผ่นเปลือกโลก")</f>
        <v>การเคลื่อนที่ของแผ่นเปลือกโลก</v>
      </c>
      <c r="E100" s="39" t="str">
        <f>HYPERLINK("https://www.youtube.com/watch?v=jgr_Z-bjyOI","ปรากฏการณ์ทางธรณีวิทยา  (แผ่นดินไหว)")</f>
        <v>ปรากฏการณ์ทางธรณีวิทยา  (แผ่นดินไหว)</v>
      </c>
      <c r="F100" s="39" t="str">
        <f>HYPERLINK("https://www.youtube.com/watch?v=Gq1DZIRvfJs","ปรากฏการณ์ทางธรณีวิทยา  (ภูเขาไฟ)")</f>
        <v>ปรากฏการณ์ทางธรณีวิทยา  (ภูเขาไฟ)</v>
      </c>
      <c r="G100" s="46" t="s">
        <v>2031</v>
      </c>
      <c r="H100" s="46" t="s">
        <v>2032</v>
      </c>
      <c r="I100" s="46" t="s">
        <v>2033</v>
      </c>
      <c r="J100" s="46" t="s">
        <v>2034</v>
      </c>
      <c r="K100" s="46" t="s">
        <v>2035</v>
      </c>
      <c r="L100" s="46" t="s">
        <v>2036</v>
      </c>
      <c r="M100" s="46" t="s">
        <v>2037</v>
      </c>
      <c r="N100" s="46" t="s">
        <v>2038</v>
      </c>
      <c r="O100" s="44" t="s">
        <v>2039</v>
      </c>
      <c r="P100" s="55" t="s">
        <v>2040</v>
      </c>
      <c r="Q100" s="42" t="s">
        <v>2041</v>
      </c>
      <c r="R100" s="10" t="s">
        <v>31</v>
      </c>
      <c r="S100" s="10" t="s">
        <v>31</v>
      </c>
      <c r="T100" s="10" t="s">
        <v>31</v>
      </c>
      <c r="U100" s="10" t="s">
        <v>31</v>
      </c>
      <c r="V100" s="10" t="s">
        <v>31</v>
      </c>
      <c r="W100" s="3"/>
      <c r="X100" s="3"/>
      <c r="Y100" s="3"/>
      <c r="Z100" s="3"/>
    </row>
    <row r="101">
      <c r="A101" s="27"/>
      <c r="B101" s="29"/>
      <c r="C101" s="10" t="s">
        <v>2042</v>
      </c>
      <c r="D101" s="10" t="s">
        <v>2042</v>
      </c>
      <c r="E101" s="10" t="s">
        <v>2042</v>
      </c>
      <c r="F101" s="10" t="s">
        <v>2042</v>
      </c>
      <c r="G101" s="10" t="s">
        <v>2042</v>
      </c>
      <c r="H101" s="10" t="s">
        <v>2042</v>
      </c>
      <c r="I101" s="75" t="s">
        <v>2043</v>
      </c>
      <c r="J101" s="75" t="s">
        <v>2043</v>
      </c>
      <c r="K101" s="75" t="s">
        <v>2044</v>
      </c>
      <c r="L101" s="75" t="s">
        <v>2044</v>
      </c>
      <c r="M101" s="75" t="s">
        <v>2044</v>
      </c>
      <c r="N101" s="75" t="s">
        <v>2043</v>
      </c>
      <c r="O101" s="202" t="s">
        <v>2043</v>
      </c>
      <c r="P101" s="75" t="s">
        <v>2043</v>
      </c>
      <c r="Q101" s="75" t="s">
        <v>2044</v>
      </c>
      <c r="R101" s="10"/>
      <c r="S101" s="10"/>
      <c r="T101" s="10"/>
      <c r="U101" s="10"/>
      <c r="V101" s="10"/>
      <c r="W101" s="3"/>
      <c r="X101" s="3"/>
      <c r="Y101" s="3"/>
      <c r="Z101" s="3"/>
    </row>
    <row r="102" ht="30.0" customHeight="1">
      <c r="A102" s="27"/>
      <c r="B102" s="29"/>
      <c r="C102" s="10" t="s">
        <v>2045</v>
      </c>
      <c r="D102" s="10" t="s">
        <v>2045</v>
      </c>
      <c r="E102" s="10" t="s">
        <v>2045</v>
      </c>
      <c r="F102" s="10" t="s">
        <v>2045</v>
      </c>
      <c r="G102" s="10" t="s">
        <v>2045</v>
      </c>
      <c r="H102" s="10" t="s">
        <v>2045</v>
      </c>
      <c r="I102" s="75" t="s">
        <v>2046</v>
      </c>
      <c r="J102" s="75" t="s">
        <v>2046</v>
      </c>
      <c r="K102" s="75" t="s">
        <v>2047</v>
      </c>
      <c r="L102" s="75" t="s">
        <v>2047</v>
      </c>
      <c r="M102" s="75" t="s">
        <v>2047</v>
      </c>
      <c r="N102" s="75" t="s">
        <v>2046</v>
      </c>
      <c r="O102" s="202" t="s">
        <v>2046</v>
      </c>
      <c r="P102" s="75" t="s">
        <v>2046</v>
      </c>
      <c r="Q102" s="75" t="s">
        <v>2047</v>
      </c>
      <c r="R102" s="10"/>
      <c r="S102" s="10"/>
      <c r="T102" s="10"/>
      <c r="U102" s="10"/>
      <c r="V102" s="10"/>
      <c r="W102" s="3"/>
      <c r="X102" s="3"/>
      <c r="Y102" s="3"/>
      <c r="Z102" s="3"/>
    </row>
    <row r="103">
      <c r="A103" s="27"/>
      <c r="B103" s="29"/>
      <c r="C103" s="10" t="s">
        <v>877</v>
      </c>
      <c r="D103" s="10" t="s">
        <v>877</v>
      </c>
      <c r="E103" s="10" t="s">
        <v>877</v>
      </c>
      <c r="F103" s="10" t="s">
        <v>877</v>
      </c>
      <c r="G103" s="10" t="s">
        <v>877</v>
      </c>
      <c r="H103" s="10" t="s">
        <v>877</v>
      </c>
      <c r="I103" s="75" t="s">
        <v>2048</v>
      </c>
      <c r="J103" s="75" t="s">
        <v>2048</v>
      </c>
      <c r="K103" s="75" t="s">
        <v>2049</v>
      </c>
      <c r="L103" s="75" t="s">
        <v>2049</v>
      </c>
      <c r="M103" s="75" t="s">
        <v>2049</v>
      </c>
      <c r="N103" s="75" t="s">
        <v>2048</v>
      </c>
      <c r="O103" s="202" t="s">
        <v>2048</v>
      </c>
      <c r="P103" s="75" t="s">
        <v>2048</v>
      </c>
      <c r="Q103" s="75" t="s">
        <v>2049</v>
      </c>
      <c r="R103" s="10"/>
      <c r="S103" s="10"/>
      <c r="T103" s="10"/>
      <c r="U103" s="10"/>
      <c r="V103" s="10"/>
      <c r="W103" s="3"/>
      <c r="X103" s="3"/>
      <c r="Y103" s="3"/>
      <c r="Z103" s="3"/>
    </row>
    <row r="104">
      <c r="A104" s="27"/>
      <c r="B104" s="29"/>
      <c r="C104" s="91" t="s">
        <v>557</v>
      </c>
      <c r="D104" s="91" t="s">
        <v>558</v>
      </c>
      <c r="E104" s="91" t="s">
        <v>2050</v>
      </c>
      <c r="F104" s="91" t="s">
        <v>560</v>
      </c>
      <c r="G104" s="91" t="s">
        <v>2051</v>
      </c>
      <c r="H104" s="91" t="s">
        <v>2052</v>
      </c>
      <c r="I104" s="91" t="s">
        <v>2053</v>
      </c>
      <c r="J104" s="91" t="s">
        <v>2054</v>
      </c>
      <c r="K104" s="91" t="s">
        <v>2055</v>
      </c>
      <c r="L104" s="91" t="s">
        <v>2056</v>
      </c>
      <c r="M104" s="91" t="s">
        <v>2057</v>
      </c>
      <c r="N104" s="91" t="s">
        <v>2058</v>
      </c>
      <c r="O104" s="87" t="s">
        <v>2059</v>
      </c>
      <c r="P104" s="69" t="s">
        <v>2060</v>
      </c>
      <c r="Q104" s="85" t="s">
        <v>2061</v>
      </c>
      <c r="R104" s="211"/>
      <c r="S104" s="211"/>
      <c r="T104" s="211"/>
      <c r="U104" s="211"/>
      <c r="V104" s="211"/>
      <c r="W104" s="3"/>
      <c r="X104" s="3"/>
      <c r="Y104" s="3"/>
      <c r="Z104" s="3"/>
    </row>
    <row r="105">
      <c r="A105" s="281"/>
      <c r="B105" s="79"/>
      <c r="C105" s="152" t="s">
        <v>31</v>
      </c>
      <c r="D105" s="152" t="s">
        <v>31</v>
      </c>
      <c r="E105" s="152" t="s">
        <v>31</v>
      </c>
      <c r="F105" s="152" t="s">
        <v>31</v>
      </c>
      <c r="G105" s="152" t="s">
        <v>31</v>
      </c>
      <c r="H105" s="152" t="s">
        <v>31</v>
      </c>
      <c r="I105" s="152" t="s">
        <v>31</v>
      </c>
      <c r="J105" s="152" t="s">
        <v>31</v>
      </c>
      <c r="K105" s="152" t="s">
        <v>31</v>
      </c>
      <c r="L105" s="152" t="s">
        <v>31</v>
      </c>
      <c r="M105" s="152" t="s">
        <v>31</v>
      </c>
      <c r="N105" s="152" t="s">
        <v>31</v>
      </c>
      <c r="O105" s="213" t="s">
        <v>31</v>
      </c>
      <c r="P105" s="83" t="str">
        <f>HYPERLINK("https://drive.google.com/folderview?id=0B4mky1MMW8dYfnhNUW5ZcGxNSE4tU3U0dmlEVDFfVlZ6cGQ4RG5iYXVsQnhGSHNQaXFEOEU&amp;usp=sharing","ดาวน์โหลดเอกสารประกอบ")</f>
        <v>ดาวน์โหลดเอกสารประกอบ</v>
      </c>
      <c r="Q105" s="164" t="s">
        <v>195</v>
      </c>
      <c r="R105" s="152" t="s">
        <v>195</v>
      </c>
      <c r="S105" s="152" t="s">
        <v>195</v>
      </c>
      <c r="T105" s="152" t="s">
        <v>195</v>
      </c>
      <c r="U105" s="152" t="s">
        <v>195</v>
      </c>
      <c r="V105" s="152" t="s">
        <v>195</v>
      </c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10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10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10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10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10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10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10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10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10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10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10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10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10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10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10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10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10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10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10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10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10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10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10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10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10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10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10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10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10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10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10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10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10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10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10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10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10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10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10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10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10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10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10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10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10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10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10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10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10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10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10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10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10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10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10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10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10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10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10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10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10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10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10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10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10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10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10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10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10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10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10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10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10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10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10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10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10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10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10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10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10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10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10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10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10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10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10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10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10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10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10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10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10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10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10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10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10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10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10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10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10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10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10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10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10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10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10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10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10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10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10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10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10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10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10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10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10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10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10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10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10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10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10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10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10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10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10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10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10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10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10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10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10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10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10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10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10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10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10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10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10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10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10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10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10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10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10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10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10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10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10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10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10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10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10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10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10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10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10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10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10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10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10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10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10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10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10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10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10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10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10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10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10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10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10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10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10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10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10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10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10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10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10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10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10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10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10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10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10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10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10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10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10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10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10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10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10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10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10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10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10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10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10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10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10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10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10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10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10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10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10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10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10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10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10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10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10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10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10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10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10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10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10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10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10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10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10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10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10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10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10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10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10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10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10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10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10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10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10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10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10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10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10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10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10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10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10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10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10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10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10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10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10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10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10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10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10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10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10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10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10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10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10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10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10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10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10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10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10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10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10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10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10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10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10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10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10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10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10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10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10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10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10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10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10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10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10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10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10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10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10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10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10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10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10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10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10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10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10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10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10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10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10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10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10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10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10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10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10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10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10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10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10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10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10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10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10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10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10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10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10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10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10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10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10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10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10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10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10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10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10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10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10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10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10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10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10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10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10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10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10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10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10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10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10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10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10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10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10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10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10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10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10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10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10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10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10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10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10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10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10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10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10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10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10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10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10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10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10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10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10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10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10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10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10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10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10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10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10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10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10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10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10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10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10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10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10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10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10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10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10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10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10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10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10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10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10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10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10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10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10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10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10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10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10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10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10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10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10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10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10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10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10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10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10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10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10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10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10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10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10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10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10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10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10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10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10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10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10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10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10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10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10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10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10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10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10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10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10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10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10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10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10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10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10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10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10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10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10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10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10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10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10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10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10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10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10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10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10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10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10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10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10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10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10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10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10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10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10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10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10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10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10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10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10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10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10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10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10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10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10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10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10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10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10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10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10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10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10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10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10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10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10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10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10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10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10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10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10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10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10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10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10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10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10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10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10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10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10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10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10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10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10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10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10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10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10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10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10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10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10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10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10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10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10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10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10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10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10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10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10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10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10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10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10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10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10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10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10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10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10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10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10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10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10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10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10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10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10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10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10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10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10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10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10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10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10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10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10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10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10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10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10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10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10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10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10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10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10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10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10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10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10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10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10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10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10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10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10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10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10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10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10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10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10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10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10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10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10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10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10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10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10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10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10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10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10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10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10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10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10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10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10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10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10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10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10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10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10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10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10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10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10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10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10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10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10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10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10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10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10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10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10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10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10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10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10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10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10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10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10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10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10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10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10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10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10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10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10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10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10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10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10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10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10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10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10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10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10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10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10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10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10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10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10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10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10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10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10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10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10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10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10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10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10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10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10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10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10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10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10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10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10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10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10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10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10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10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10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10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10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10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10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10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10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10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10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10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10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10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10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10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10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10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10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10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10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10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10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10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10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10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10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10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10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10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10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10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10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10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10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10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10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10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10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10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10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10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10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10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10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10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10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10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10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10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10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10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10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10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10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10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10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10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10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10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10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10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10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10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10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10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10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10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10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10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10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10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10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10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10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10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10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10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10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10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10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10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10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10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10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10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10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10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10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10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10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10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10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10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10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10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10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10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10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10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10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10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10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10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10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10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10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10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10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10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10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10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10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10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10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10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10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10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10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10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10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10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10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10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10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10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10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10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10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10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10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10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10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10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10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10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10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10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10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10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10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10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10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10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10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10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10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10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10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10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10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10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10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10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10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10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10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10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10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10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10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10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10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10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10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10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10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10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10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10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10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10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10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10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10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10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10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10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10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10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10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10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10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10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10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10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10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10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10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10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10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10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10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10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10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10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10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10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10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10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10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10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10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10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10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10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10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10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10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10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10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10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10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10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10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10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10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10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10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10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10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10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10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10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10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10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10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10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10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10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10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10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</sheetData>
  <mergeCells count="14">
    <mergeCell ref="B43:B49"/>
    <mergeCell ref="B59:B65"/>
    <mergeCell ref="B51:B57"/>
    <mergeCell ref="B67:B73"/>
    <mergeCell ref="A3:A105"/>
    <mergeCell ref="B75:B81"/>
    <mergeCell ref="B83:B89"/>
    <mergeCell ref="B3:B9"/>
    <mergeCell ref="B11:B17"/>
    <mergeCell ref="B35:B41"/>
    <mergeCell ref="B19:B25"/>
    <mergeCell ref="B27:B33"/>
    <mergeCell ref="B91:B97"/>
    <mergeCell ref="B99:B105"/>
  </mergeCells>
  <hyperlinks>
    <hyperlink r:id="rId1" ref="C8"/>
    <hyperlink r:id="rId2" ref="D8"/>
    <hyperlink r:id="rId3" ref="F8"/>
    <hyperlink r:id="rId4" ref="G8"/>
    <hyperlink r:id="rId5" ref="H8"/>
    <hyperlink r:id="rId6" ref="I8"/>
    <hyperlink r:id="rId7" ref="J8"/>
    <hyperlink r:id="rId8" ref="K8"/>
    <hyperlink r:id="rId9" ref="L8"/>
    <hyperlink r:id="rId10" ref="M8"/>
    <hyperlink r:id="rId11" ref="N8"/>
    <hyperlink r:id="rId12" ref="O8"/>
    <hyperlink r:id="rId13" ref="P8"/>
    <hyperlink r:id="rId14" ref="Q8"/>
    <hyperlink r:id="rId15" ref="R8"/>
    <hyperlink r:id="rId16" ref="S8"/>
    <hyperlink r:id="rId17" ref="T8"/>
    <hyperlink r:id="rId18" ref="U8"/>
    <hyperlink r:id="rId19" ref="V8"/>
    <hyperlink r:id="rId20" ref="C16"/>
    <hyperlink r:id="rId21" ref="D16"/>
    <hyperlink r:id="rId22" ref="E16"/>
    <hyperlink r:id="rId23" ref="F16"/>
    <hyperlink r:id="rId24" ref="G16"/>
    <hyperlink r:id="rId25" ref="H16"/>
    <hyperlink r:id="rId26" ref="I16"/>
    <hyperlink r:id="rId27" ref="J16"/>
    <hyperlink r:id="rId28" ref="K16"/>
    <hyperlink r:id="rId29" ref="L16"/>
    <hyperlink r:id="rId30" ref="M16"/>
    <hyperlink r:id="rId31" ref="N16"/>
    <hyperlink r:id="rId32" ref="O16"/>
    <hyperlink r:id="rId33" ref="P16"/>
    <hyperlink r:id="rId34" ref="Q16"/>
    <hyperlink r:id="rId35" ref="R16"/>
    <hyperlink r:id="rId36" ref="S16"/>
    <hyperlink r:id="rId37" ref="T16"/>
    <hyperlink r:id="rId38" ref="U16"/>
    <hyperlink r:id="rId39" ref="D24"/>
    <hyperlink r:id="rId40" ref="E24"/>
    <hyperlink r:id="rId41" ref="F24"/>
    <hyperlink r:id="rId42" ref="G24"/>
    <hyperlink r:id="rId43" ref="H24"/>
    <hyperlink r:id="rId44" ref="I24"/>
    <hyperlink r:id="rId45" ref="J24"/>
    <hyperlink r:id="rId46" ref="K24"/>
    <hyperlink r:id="rId47" ref="L24"/>
    <hyperlink r:id="rId48" ref="M24"/>
    <hyperlink r:id="rId49" ref="N24"/>
    <hyperlink r:id="rId50" ref="O24"/>
    <hyperlink r:id="rId51" ref="P24"/>
    <hyperlink r:id="rId52" ref="Q24"/>
    <hyperlink r:id="rId53" ref="R24"/>
    <hyperlink r:id="rId54" ref="S24"/>
    <hyperlink r:id="rId55" ref="T24"/>
    <hyperlink r:id="rId56" ref="U24"/>
    <hyperlink r:id="rId57" ref="V24"/>
    <hyperlink r:id="rId58" ref="C32"/>
    <hyperlink r:id="rId59" ref="D32"/>
    <hyperlink r:id="rId60" ref="E32"/>
    <hyperlink r:id="rId61" ref="F32"/>
    <hyperlink r:id="rId62" ref="H32"/>
    <hyperlink r:id="rId63" ref="I32"/>
    <hyperlink r:id="rId64" ref="J32"/>
    <hyperlink r:id="rId65" ref="K32"/>
    <hyperlink r:id="rId66" ref="L32"/>
    <hyperlink r:id="rId67" ref="M32"/>
    <hyperlink r:id="rId68" ref="N32"/>
    <hyperlink r:id="rId69" ref="O32"/>
    <hyperlink r:id="rId70" ref="P32"/>
    <hyperlink r:id="rId71" ref="Q32"/>
    <hyperlink r:id="rId72" ref="R32"/>
    <hyperlink r:id="rId73" ref="S32"/>
    <hyperlink r:id="rId74" ref="T32"/>
    <hyperlink r:id="rId75" ref="U32"/>
    <hyperlink r:id="rId76" ref="V32"/>
    <hyperlink r:id="rId77" ref="C40"/>
    <hyperlink r:id="rId78" ref="D40"/>
    <hyperlink r:id="rId79" ref="E40"/>
    <hyperlink r:id="rId80" ref="F40"/>
    <hyperlink r:id="rId81" ref="G40"/>
    <hyperlink r:id="rId82" ref="H40"/>
    <hyperlink r:id="rId83" ref="I40"/>
    <hyperlink r:id="rId84" ref="J40"/>
    <hyperlink r:id="rId85" ref="K40"/>
    <hyperlink r:id="rId86" ref="L40"/>
    <hyperlink r:id="rId87" ref="M40"/>
    <hyperlink r:id="rId88" ref="N40"/>
    <hyperlink r:id="rId89" ref="O40"/>
    <hyperlink r:id="rId90" ref="P40"/>
    <hyperlink r:id="rId91" ref="Q40"/>
    <hyperlink r:id="rId92" ref="S40"/>
    <hyperlink r:id="rId93" ref="T40"/>
    <hyperlink r:id="rId94" ref="U40"/>
    <hyperlink r:id="rId95" ref="V40"/>
    <hyperlink r:id="rId96" ref="W40"/>
    <hyperlink r:id="rId97" ref="C48"/>
    <hyperlink r:id="rId98" ref="F48"/>
    <hyperlink r:id="rId99" ref="G48"/>
    <hyperlink r:id="rId100" ref="H48"/>
    <hyperlink r:id="rId101" ref="I48"/>
    <hyperlink r:id="rId102" ref="J48"/>
    <hyperlink r:id="rId103" ref="K48"/>
    <hyperlink r:id="rId104" ref="L48"/>
    <hyperlink r:id="rId105" ref="M48"/>
    <hyperlink r:id="rId106" ref="N48"/>
    <hyperlink r:id="rId107" ref="O48"/>
    <hyperlink r:id="rId108" ref="P48"/>
    <hyperlink r:id="rId109" ref="Q48"/>
    <hyperlink r:id="rId110" ref="R48"/>
    <hyperlink r:id="rId111" ref="S48"/>
    <hyperlink r:id="rId112" ref="T48"/>
    <hyperlink r:id="rId113" ref="U48"/>
    <hyperlink r:id="rId114" ref="V48"/>
    <hyperlink r:id="rId115" ref="C56"/>
    <hyperlink r:id="rId116" ref="D56"/>
    <hyperlink r:id="rId117" ref="E56"/>
    <hyperlink r:id="rId118" ref="F56"/>
    <hyperlink r:id="rId119" ref="G56"/>
    <hyperlink r:id="rId120" ref="H56"/>
    <hyperlink r:id="rId121" ref="I56"/>
    <hyperlink r:id="rId122" ref="J56"/>
    <hyperlink r:id="rId123" ref="K56"/>
    <hyperlink r:id="rId124" ref="L56"/>
    <hyperlink r:id="rId125" ref="M56"/>
    <hyperlink r:id="rId126" ref="N56"/>
    <hyperlink r:id="rId127" ref="O56"/>
    <hyperlink r:id="rId128" ref="P56"/>
    <hyperlink r:id="rId129" ref="Q56"/>
    <hyperlink r:id="rId130" ref="R56"/>
    <hyperlink r:id="rId131" ref="S56"/>
    <hyperlink r:id="rId132" ref="T56"/>
    <hyperlink r:id="rId133" ref="U56"/>
    <hyperlink r:id="rId134" ref="V56"/>
    <hyperlink r:id="rId135" ref="C64"/>
    <hyperlink r:id="rId136" ref="D64"/>
    <hyperlink r:id="rId137" ref="E64"/>
    <hyperlink r:id="rId138" ref="F64"/>
    <hyperlink r:id="rId139" ref="G64"/>
    <hyperlink r:id="rId140" ref="H64"/>
    <hyperlink r:id="rId141" ref="I64"/>
    <hyperlink r:id="rId142" ref="J64"/>
    <hyperlink r:id="rId143" ref="K64"/>
    <hyperlink r:id="rId144" ref="L64"/>
    <hyperlink r:id="rId145" ref="M64"/>
    <hyperlink r:id="rId146" ref="N64"/>
    <hyperlink r:id="rId147" ref="O64"/>
    <hyperlink r:id="rId148" ref="P64"/>
    <hyperlink r:id="rId149" ref="Q64"/>
    <hyperlink r:id="rId150" ref="R64"/>
    <hyperlink r:id="rId151" ref="S64"/>
    <hyperlink r:id="rId152" ref="T64"/>
    <hyperlink r:id="rId153" ref="U64"/>
    <hyperlink r:id="rId154" ref="V64"/>
    <hyperlink r:id="rId155" ref="W64"/>
    <hyperlink r:id="rId156" ref="C72"/>
    <hyperlink r:id="rId157" ref="D72"/>
    <hyperlink r:id="rId158" ref="E72"/>
    <hyperlink r:id="rId159" ref="F72"/>
    <hyperlink r:id="rId160" ref="G72"/>
    <hyperlink r:id="rId161" ref="H72"/>
    <hyperlink r:id="rId162" ref="I72"/>
    <hyperlink r:id="rId163" ref="J72"/>
    <hyperlink r:id="rId164" ref="K72"/>
    <hyperlink r:id="rId165" ref="L72"/>
    <hyperlink r:id="rId166" ref="M72"/>
    <hyperlink r:id="rId167" ref="N72"/>
    <hyperlink r:id="rId168" ref="O72"/>
    <hyperlink r:id="rId169" ref="P72"/>
    <hyperlink r:id="rId170" ref="Q72"/>
    <hyperlink r:id="rId171" ref="R72"/>
    <hyperlink r:id="rId172" ref="S72"/>
    <hyperlink r:id="rId173" ref="T72"/>
    <hyperlink r:id="rId174" ref="U72"/>
    <hyperlink r:id="rId175" ref="V72"/>
    <hyperlink r:id="rId176" ref="W72"/>
    <hyperlink r:id="rId177" ref="X72"/>
    <hyperlink r:id="rId178" ref="Y72"/>
    <hyperlink r:id="rId179" ref="Z72"/>
    <hyperlink r:id="rId180" ref="C80"/>
    <hyperlink r:id="rId181" ref="D80"/>
    <hyperlink r:id="rId182" ref="E80"/>
    <hyperlink r:id="rId183" ref="F80"/>
    <hyperlink r:id="rId184" ref="H80"/>
    <hyperlink r:id="rId185" ref="I80"/>
    <hyperlink r:id="rId186" ref="J80"/>
    <hyperlink r:id="rId187" ref="K80"/>
    <hyperlink r:id="rId188" ref="L80"/>
    <hyperlink r:id="rId189" ref="M80"/>
    <hyperlink r:id="rId190" ref="N80"/>
    <hyperlink r:id="rId191" ref="O80"/>
    <hyperlink r:id="rId192" ref="P80"/>
    <hyperlink r:id="rId193" ref="Q80"/>
    <hyperlink r:id="rId194" ref="R80"/>
    <hyperlink r:id="rId195" ref="S80"/>
    <hyperlink r:id="rId196" ref="T80"/>
    <hyperlink r:id="rId197" ref="U80"/>
    <hyperlink r:id="rId198" ref="V80"/>
    <hyperlink r:id="rId199" ref="C88"/>
    <hyperlink r:id="rId200" ref="D88"/>
    <hyperlink r:id="rId201" ref="G88"/>
    <hyperlink r:id="rId202" ref="H88"/>
    <hyperlink r:id="rId203" ref="I88"/>
    <hyperlink r:id="rId204" ref="J88"/>
    <hyperlink r:id="rId205" ref="K88"/>
    <hyperlink r:id="rId206" ref="L88"/>
    <hyperlink r:id="rId207" ref="M88"/>
    <hyperlink r:id="rId208" ref="N88"/>
    <hyperlink r:id="rId209" ref="O88"/>
    <hyperlink r:id="rId210" ref="P88"/>
    <hyperlink r:id="rId211" ref="Q88"/>
    <hyperlink r:id="rId212" ref="C96"/>
    <hyperlink r:id="rId213" ref="F96"/>
    <hyperlink r:id="rId214" ref="G96"/>
    <hyperlink r:id="rId215" ref="H96"/>
    <hyperlink r:id="rId216" ref="I96"/>
    <hyperlink r:id="rId217" ref="J96"/>
    <hyperlink r:id="rId218" ref="K96"/>
    <hyperlink r:id="rId219" ref="L96"/>
    <hyperlink r:id="rId220" ref="M96"/>
    <hyperlink r:id="rId221" ref="N96"/>
    <hyperlink r:id="rId222" ref="O96"/>
    <hyperlink r:id="rId223" ref="P96"/>
    <hyperlink r:id="rId224" ref="Q96"/>
    <hyperlink r:id="rId225" ref="R96"/>
    <hyperlink r:id="rId226" ref="C104"/>
    <hyperlink r:id="rId227" ref="D104"/>
    <hyperlink r:id="rId228" ref="E104"/>
    <hyperlink r:id="rId229" ref="F104"/>
    <hyperlink r:id="rId230" ref="G104"/>
    <hyperlink r:id="rId231" ref="H104"/>
    <hyperlink r:id="rId232" ref="I104"/>
    <hyperlink r:id="rId233" ref="J104"/>
    <hyperlink r:id="rId234" ref="K104"/>
    <hyperlink r:id="rId235" ref="L104"/>
    <hyperlink r:id="rId236" ref="M104"/>
    <hyperlink r:id="rId237" ref="N104"/>
    <hyperlink r:id="rId238" ref="O104"/>
    <hyperlink r:id="rId239" ref="P104"/>
    <hyperlink r:id="rId240" ref="Q104"/>
  </hyperlinks>
  <drawing r:id="rId24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1" defaultRowHeight="15.0"/>
  <cols>
    <col customWidth="1" min="1" max="1" width="7.9"/>
    <col customWidth="1" min="2" max="2" width="7.5"/>
    <col customWidth="1" min="3" max="15" width="21.1"/>
    <col customWidth="1" min="16" max="16" width="22.1"/>
    <col customWidth="1" min="17" max="17" width="22.0"/>
    <col customWidth="1" min="18" max="18" width="22.4"/>
    <col customWidth="1" min="19" max="22" width="21.1"/>
    <col customWidth="1" min="23" max="23" width="19.4"/>
    <col customWidth="1" min="24" max="24" width="20.4"/>
    <col customWidth="1" min="25" max="25" width="19.4"/>
    <col customWidth="1" min="26" max="26" width="19.1"/>
    <col customWidth="1" min="27" max="28" width="6.9"/>
  </cols>
  <sheetData>
    <row r="1">
      <c r="A1" s="1" t="s">
        <v>2062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>
      <c r="A2" s="5" t="s">
        <v>2</v>
      </c>
      <c r="B2" s="5" t="s">
        <v>3</v>
      </c>
      <c r="C2" s="5" t="s">
        <v>4</v>
      </c>
      <c r="D2" s="12" t="s">
        <v>5</v>
      </c>
      <c r="E2" s="5" t="s">
        <v>6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3"/>
      <c r="AB2" s="3"/>
    </row>
    <row r="3" ht="15.0" customHeight="1">
      <c r="A3" s="6" t="s">
        <v>2063</v>
      </c>
      <c r="B3" s="13" t="s">
        <v>30</v>
      </c>
      <c r="C3" s="19" t="s">
        <v>2064</v>
      </c>
      <c r="D3" s="21" t="s">
        <v>2064</v>
      </c>
      <c r="E3" s="26" t="s">
        <v>2064</v>
      </c>
      <c r="F3" s="26" t="s">
        <v>2064</v>
      </c>
      <c r="G3" s="26" t="s">
        <v>2064</v>
      </c>
      <c r="H3" s="26" t="s">
        <v>2064</v>
      </c>
      <c r="I3" s="26" t="s">
        <v>2065</v>
      </c>
      <c r="J3" s="26" t="s">
        <v>2065</v>
      </c>
      <c r="K3" s="26" t="s">
        <v>2066</v>
      </c>
      <c r="L3" s="26" t="s">
        <v>2066</v>
      </c>
      <c r="M3" s="26" t="s">
        <v>2066</v>
      </c>
      <c r="N3" s="26" t="s">
        <v>2066</v>
      </c>
      <c r="O3" s="26" t="s">
        <v>2066</v>
      </c>
      <c r="P3" s="26" t="s">
        <v>2067</v>
      </c>
      <c r="Q3" s="21" t="s">
        <v>2067</v>
      </c>
      <c r="R3" s="26" t="s">
        <v>2068</v>
      </c>
      <c r="S3" s="26" t="s">
        <v>2068</v>
      </c>
      <c r="T3" s="26" t="s">
        <v>2069</v>
      </c>
      <c r="U3" s="26" t="s">
        <v>2069</v>
      </c>
      <c r="V3" s="26" t="s">
        <v>2070</v>
      </c>
      <c r="W3" s="124" t="s">
        <v>2071</v>
      </c>
      <c r="X3" s="124" t="s">
        <v>2072</v>
      </c>
      <c r="Y3" s="124" t="s">
        <v>2072</v>
      </c>
      <c r="Z3" s="124" t="s">
        <v>2072</v>
      </c>
      <c r="AA3" s="3"/>
      <c r="AB3" s="3"/>
    </row>
    <row r="4" ht="60.75" customHeight="1">
      <c r="A4" s="27"/>
      <c r="B4" s="29"/>
      <c r="C4" s="34" t="str">
        <f>HYPERLINK("https://www.youtube.com/watch?v=sWNj0KNh5nU","พระรัตนตรัย")</f>
        <v>พระรัตนตรัย</v>
      </c>
      <c r="D4" s="46" t="s">
        <v>2073</v>
      </c>
      <c r="E4" s="42" t="s">
        <v>2074</v>
      </c>
      <c r="F4" s="42" t="s">
        <v>2075</v>
      </c>
      <c r="G4" s="42" t="s">
        <v>2076</v>
      </c>
      <c r="H4" s="42" t="s">
        <v>2077</v>
      </c>
      <c r="I4" s="42" t="s">
        <v>2078</v>
      </c>
      <c r="J4" s="42" t="s">
        <v>2079</v>
      </c>
      <c r="K4" s="42" t="s">
        <v>2080</v>
      </c>
      <c r="L4" s="42" t="s">
        <v>2081</v>
      </c>
      <c r="M4" s="42" t="s">
        <v>2082</v>
      </c>
      <c r="N4" s="48" t="s">
        <v>2083</v>
      </c>
      <c r="O4" s="48" t="s">
        <v>2084</v>
      </c>
      <c r="P4" s="48" t="s">
        <v>2085</v>
      </c>
      <c r="Q4" s="46" t="s">
        <v>2086</v>
      </c>
      <c r="R4" s="42" t="s">
        <v>2087</v>
      </c>
      <c r="S4" s="42" t="s">
        <v>2088</v>
      </c>
      <c r="T4" s="42" t="s">
        <v>2089</v>
      </c>
      <c r="U4" s="42" t="s">
        <v>2090</v>
      </c>
      <c r="V4" s="42" t="s">
        <v>2091</v>
      </c>
      <c r="W4" s="48" t="s">
        <v>2092</v>
      </c>
      <c r="X4" s="48" t="s">
        <v>2093</v>
      </c>
      <c r="Y4" s="48" t="s">
        <v>2094</v>
      </c>
      <c r="Z4" s="48" t="s">
        <v>2095</v>
      </c>
      <c r="AA4" s="3"/>
      <c r="AB4" s="3"/>
    </row>
    <row r="5">
      <c r="A5" s="27"/>
      <c r="B5" s="29"/>
      <c r="C5" s="10" t="s">
        <v>2096</v>
      </c>
      <c r="D5" s="10" t="s">
        <v>2096</v>
      </c>
      <c r="E5" s="10" t="s">
        <v>2096</v>
      </c>
      <c r="F5" s="10" t="s">
        <v>2096</v>
      </c>
      <c r="G5" s="10" t="s">
        <v>2096</v>
      </c>
      <c r="H5" s="10" t="s">
        <v>2096</v>
      </c>
      <c r="I5" s="62" t="s">
        <v>2097</v>
      </c>
      <c r="J5" s="62" t="s">
        <v>2098</v>
      </c>
      <c r="K5" s="62" t="s">
        <v>2097</v>
      </c>
      <c r="L5" s="62" t="s">
        <v>2097</v>
      </c>
      <c r="M5" s="62" t="s">
        <v>2099</v>
      </c>
      <c r="N5" s="62" t="s">
        <v>2099</v>
      </c>
      <c r="O5" s="62" t="s">
        <v>2099</v>
      </c>
      <c r="P5" s="62" t="s">
        <v>2099</v>
      </c>
      <c r="Q5" s="75" t="s">
        <v>2099</v>
      </c>
      <c r="R5" s="75" t="s">
        <v>2099</v>
      </c>
      <c r="S5" s="75" t="s">
        <v>2099</v>
      </c>
      <c r="T5" s="75" t="s">
        <v>2099</v>
      </c>
      <c r="U5" s="75" t="s">
        <v>2099</v>
      </c>
      <c r="V5" s="75" t="s">
        <v>2099</v>
      </c>
      <c r="W5" s="75" t="s">
        <v>2099</v>
      </c>
      <c r="X5" s="75" t="s">
        <v>2099</v>
      </c>
      <c r="Y5" s="75" t="s">
        <v>2099</v>
      </c>
      <c r="Z5" s="75" t="s">
        <v>2099</v>
      </c>
      <c r="AA5" s="3"/>
      <c r="AB5" s="3"/>
    </row>
    <row r="6">
      <c r="A6" s="27"/>
      <c r="B6" s="29"/>
      <c r="C6" s="10" t="s">
        <v>2100</v>
      </c>
      <c r="D6" s="10" t="s">
        <v>2100</v>
      </c>
      <c r="E6" s="10" t="s">
        <v>2100</v>
      </c>
      <c r="F6" s="10" t="s">
        <v>2100</v>
      </c>
      <c r="G6" s="10" t="s">
        <v>2100</v>
      </c>
      <c r="H6" s="10" t="s">
        <v>2100</v>
      </c>
      <c r="I6" s="62" t="s">
        <v>2101</v>
      </c>
      <c r="J6" s="62" t="s">
        <v>2101</v>
      </c>
      <c r="K6" s="62" t="s">
        <v>2101</v>
      </c>
      <c r="L6" s="62" t="s">
        <v>2101</v>
      </c>
      <c r="M6" s="62" t="s">
        <v>2102</v>
      </c>
      <c r="N6" s="62" t="s">
        <v>2102</v>
      </c>
      <c r="O6" s="62" t="s">
        <v>2102</v>
      </c>
      <c r="P6" s="62" t="s">
        <v>2102</v>
      </c>
      <c r="Q6" s="75" t="s">
        <v>2102</v>
      </c>
      <c r="R6" s="75" t="s">
        <v>2102</v>
      </c>
      <c r="S6" s="75" t="s">
        <v>2102</v>
      </c>
      <c r="T6" s="75" t="s">
        <v>2102</v>
      </c>
      <c r="U6" s="75" t="s">
        <v>2102</v>
      </c>
      <c r="V6" s="75" t="s">
        <v>2102</v>
      </c>
      <c r="W6" s="75" t="s">
        <v>2102</v>
      </c>
      <c r="X6" s="75" t="s">
        <v>2102</v>
      </c>
      <c r="Y6" s="75" t="s">
        <v>2102</v>
      </c>
      <c r="Z6" s="75" t="s">
        <v>2102</v>
      </c>
      <c r="AA6" s="3"/>
      <c r="AB6" s="3"/>
    </row>
    <row r="7">
      <c r="A7" s="27"/>
      <c r="B7" s="29"/>
      <c r="C7" s="10" t="s">
        <v>625</v>
      </c>
      <c r="D7" s="10" t="s">
        <v>625</v>
      </c>
      <c r="E7" s="10" t="s">
        <v>625</v>
      </c>
      <c r="F7" s="10" t="s">
        <v>625</v>
      </c>
      <c r="G7" s="10" t="s">
        <v>625</v>
      </c>
      <c r="H7" s="10" t="s">
        <v>625</v>
      </c>
      <c r="I7" s="62" t="s">
        <v>405</v>
      </c>
      <c r="J7" s="62" t="s">
        <v>405</v>
      </c>
      <c r="K7" s="62" t="s">
        <v>405</v>
      </c>
      <c r="L7" s="62" t="s">
        <v>405</v>
      </c>
      <c r="M7" s="62" t="s">
        <v>2103</v>
      </c>
      <c r="N7" s="62" t="s">
        <v>2103</v>
      </c>
      <c r="O7" s="62" t="s">
        <v>2103</v>
      </c>
      <c r="P7" s="62" t="s">
        <v>2103</v>
      </c>
      <c r="Q7" s="75" t="s">
        <v>2103</v>
      </c>
      <c r="R7" s="75" t="s">
        <v>2103</v>
      </c>
      <c r="S7" s="75" t="s">
        <v>2103</v>
      </c>
      <c r="T7" s="75" t="s">
        <v>2103</v>
      </c>
      <c r="U7" s="75" t="s">
        <v>2103</v>
      </c>
      <c r="V7" s="75" t="s">
        <v>2103</v>
      </c>
      <c r="W7" s="75" t="s">
        <v>2103</v>
      </c>
      <c r="X7" s="75" t="s">
        <v>2103</v>
      </c>
      <c r="Y7" s="75" t="s">
        <v>2103</v>
      </c>
      <c r="Z7" s="75" t="s">
        <v>2103</v>
      </c>
      <c r="AA7" s="3"/>
      <c r="AB7" s="3"/>
    </row>
    <row r="8">
      <c r="A8" s="27"/>
      <c r="B8" s="29"/>
      <c r="C8" s="98" t="str">
        <f>HYPERLINK("https://www.youtube.com/watch?v=sWNj0KNh5nU","https://www.youtube.com/watch?v=sWNj0KNh5nU")</f>
        <v>https://www.youtube.com/watch?v=sWNj0KNh5nU</v>
      </c>
      <c r="D8" s="91" t="s">
        <v>2104</v>
      </c>
      <c r="E8" s="85" t="s">
        <v>2105</v>
      </c>
      <c r="F8" s="85" t="s">
        <v>2106</v>
      </c>
      <c r="G8" s="85" t="s">
        <v>2107</v>
      </c>
      <c r="H8" s="85" t="s">
        <v>2108</v>
      </c>
      <c r="I8" s="85" t="s">
        <v>2109</v>
      </c>
      <c r="J8" s="85" t="s">
        <v>2110</v>
      </c>
      <c r="K8" s="85" t="s">
        <v>2111</v>
      </c>
      <c r="L8" s="85" t="s">
        <v>2112</v>
      </c>
      <c r="M8" s="85" t="s">
        <v>2113</v>
      </c>
      <c r="N8" s="85" t="s">
        <v>2114</v>
      </c>
      <c r="O8" s="85" t="s">
        <v>2115</v>
      </c>
      <c r="P8" s="85" t="s">
        <v>2116</v>
      </c>
      <c r="Q8" s="91" t="s">
        <v>2117</v>
      </c>
      <c r="R8" s="85" t="s">
        <v>2118</v>
      </c>
      <c r="S8" s="85" t="s">
        <v>2119</v>
      </c>
      <c r="T8" s="85" t="s">
        <v>2120</v>
      </c>
      <c r="U8" s="85" t="s">
        <v>2121</v>
      </c>
      <c r="V8" s="85" t="s">
        <v>2122</v>
      </c>
      <c r="W8" s="85" t="s">
        <v>2123</v>
      </c>
      <c r="X8" s="85" t="s">
        <v>2124</v>
      </c>
      <c r="Y8" s="85" t="s">
        <v>2125</v>
      </c>
      <c r="Z8" s="85" t="s">
        <v>2126</v>
      </c>
      <c r="AA8" s="3"/>
      <c r="AB8" s="3"/>
    </row>
    <row r="9">
      <c r="A9" s="27"/>
      <c r="B9" s="79"/>
      <c r="C9" s="152" t="s">
        <v>31</v>
      </c>
      <c r="D9" s="152" t="s">
        <v>31</v>
      </c>
      <c r="E9" s="152" t="s">
        <v>31</v>
      </c>
      <c r="F9" s="152" t="s">
        <v>31</v>
      </c>
      <c r="G9" s="152" t="s">
        <v>31</v>
      </c>
      <c r="H9" s="152" t="s">
        <v>31</v>
      </c>
      <c r="I9" s="98" t="str">
        <f>HYPERLINK("https://drive.google.com/folderview?id=0B0x_dulH5-nEdDNkNHNDN1YxWHM&amp;usp=sharing","ดาวน์โหลดเอกสารประกอบ")</f>
        <v>ดาวน์โหลดเอกสารประกอบ</v>
      </c>
      <c r="J9" s="98" t="str">
        <f>HYPERLINK("https://drive.google.com/folderview?id=0B0x_dulH5-nEMkZEdG1nWTU3TTQ&amp;usp=sharing","ดาวน์โหลดเอกสารประกอบ")</f>
        <v>ดาวน์โหลดเอกสารประกอบ</v>
      </c>
      <c r="K9" s="98" t="str">
        <f>HYPERLINK("https://drive.google.com/folderview?id=0B0x_dulH5-nEUE5lT1Y0UWowbjg&amp;usp=sharing","ดาวน์โหลดเอกสารประกอบ")</f>
        <v>ดาวน์โหลดเอกสารประกอบ</v>
      </c>
      <c r="L9" s="98" t="str">
        <f>HYPERLINK("https://drive.google.com/folderview?id=0B0x_dulH5-nEOW1XLXZMQTBDRTg&amp;usp=sharing","ดาวน์โหลดเอกสารประกอบ")</f>
        <v>ดาวน์โหลดเอกสารประกอบ</v>
      </c>
      <c r="M9" s="98" t="str">
        <f>HYPERLINK("https://drive.google.com/folderview?id=0B4mky1MMW8dYflN0QXBVN283RDhrMngxS1AxZDlVWWtqRDlDZmdtNWM5X2hrX1NhVkJEejA&amp;usp=sharing","ดาวน์โหลดเอกสารประกอบ")</f>
        <v>ดาวน์โหลดเอกสารประกอบ</v>
      </c>
      <c r="N9" s="98" t="str">
        <f>HYPERLINK("https://drive.google.com/folderview?id=0B4mky1MMW8dYfjRrbWI1WkswUkJ2V0FvSmVGOW1XN3M0UHlGSGZHMXNqRHRadmxiaFFwYjQ&amp;usp=sharing","ดาวน์โหลดเอกสารประกอบ")</f>
        <v>ดาวน์โหลดเอกสารประกอบ</v>
      </c>
      <c r="O9" s="98" t="str">
        <f>HYPERLINK("https://drive.google.com/folderview?id=0B4mky1MMW8dYflM0dnNxczVGQ2stdTdwRkRuQUdKVHR4a202M1hpVnBVVExlUGRxUlI1SVU&amp;usp=sharing","ดาวน์โหลดเอกสารประกอบ")</f>
        <v>ดาวน์โหลดเอกสารประกอบ</v>
      </c>
      <c r="P9" s="98" t="str">
        <f>HYPERLINK("https://drive.google.com/folderview?id=0B4mky1MMW8dYfm5MejUxMTBXT3lGamM2Ul8zWFpEdXNUd0lPUHcwR3JJU1J0RTRmYl9FMm8&amp;usp=sharing","ดาวน์โหลดเอกสารประกอบ")</f>
        <v>ดาวน์โหลดเอกสารประกอบ</v>
      </c>
      <c r="Q9" s="98" t="str">
        <f>HYPERLINK("https://drive.google.com/folderview?id=0B4mky1MMW8dYflBvUWNaVVIzMlhKc05mWTYybUFYaEsyLTdRNEtYR2pNZHA3SnVVUlF2MGc&amp;usp=sharing","ดาวน์โหลดเอกสารประกอบ")</f>
        <v>ดาวน์โหลดเอกสารประกอบ</v>
      </c>
      <c r="R9" s="98" t="str">
        <f>HYPERLINK("https://drive.google.com/folderview?id=0B4mky1MMW8dYfnpsbUVsMmNIeU9vZjBaanhfTGFyNzA1RWltUHdVZFVwUXc0aXhfRG1DNUU&amp;usp=sharing","ดาวน์โหลดเอกสารประกอบ")</f>
        <v>ดาวน์โหลดเอกสารประกอบ</v>
      </c>
      <c r="S9" s="98" t="str">
        <f>HYPERLINK("https://drive.google.com/folderview?id=0B4mky1MMW8dYfjRxa1ZFVFRrLW9hd000OTVwMFl5aEdPUzNjb182bFhiY2wxdnB6cDFGSWM&amp;usp=sharing","ดาวน์โหลดเอกสารประกอบ")</f>
        <v>ดาวน์โหลดเอกสารประกอบ</v>
      </c>
      <c r="T9" s="152" t="s">
        <v>31</v>
      </c>
      <c r="U9" s="98" t="str">
        <f>HYPERLINK("https://drive.google.com/folderview?id=0B0x_dulH5-nEflpDZDZnV18zNWdDaF9rRFJiMkk3MEpXMmQ0NWlua3o4eEdyNFpDRDlpQmM&amp;usp=sharing","ดาวน์โหลดเอกสารประกอบ")</f>
        <v>ดาวน์โหลดเอกสารประกอบ</v>
      </c>
      <c r="V9" s="110" t="str">
        <f>HYPERLINK("https://drive.google.com/folderview?id=0B0x_dulH5-nEfl9qbXViMDhkWnlkLXFuZThseTdEMElXbFVtWUZYc00xZFJPWW1MbDVhemc&amp;usp=sharing","ดาวน์โหลดเอกสารประกอบ")</f>
        <v>ดาวน์โหลดเอกสารประกอบ</v>
      </c>
      <c r="W9" s="110" t="str">
        <f>HYPERLINK("https://drive.google.com/folderview?id=0B4mky1MMW8dYNDNOTGk5MlBQQWs&amp;usp=sharing","ดาวน์โหลดเอกสารประกอบ")</f>
        <v>ดาวน์โหลดเอกสารประกอบ</v>
      </c>
      <c r="X9" s="110" t="str">
        <f>HYPERLINK("https://drive.google.com/folderview?id=0B4mky1MMW8dYVmoydXpGbjIzQ3c&amp;usp=sharing","ดาวน์โหลดเอกสารประกอบ")</f>
        <v>ดาวน์โหลดเอกสารประกอบ</v>
      </c>
      <c r="Y9" s="110" t="str">
        <f>HYPERLINK("https://drive.google.com/folderview?id=0B4mky1MMW8dYWWRjOUlXaVlGeHc&amp;usp=sharing","ดาวน์โหลดเอกสารประกอบ")</f>
        <v>ดาวน์โหลดเอกสารประกอบ</v>
      </c>
      <c r="Z9" s="110" t="str">
        <f>HYPERLINK("https://drive.google.com/folderview?id=0B4mky1MMW8dYOVo5VHJySmg4SXc&amp;usp=sharing","ดาวน์โหลดเอกสารประกอบ")</f>
        <v>ดาวน์โหลดเอกสารประกอบ</v>
      </c>
      <c r="AA9" s="3"/>
      <c r="AB9" s="3"/>
    </row>
    <row r="10">
      <c r="A10" s="27"/>
      <c r="B10" s="5" t="s">
        <v>3</v>
      </c>
      <c r="C10" s="5" t="s">
        <v>4</v>
      </c>
      <c r="D10" s="12" t="s">
        <v>5</v>
      </c>
      <c r="E10" s="5" t="s">
        <v>6</v>
      </c>
      <c r="F10" s="5" t="s">
        <v>8</v>
      </c>
      <c r="G10" s="5" t="s">
        <v>9</v>
      </c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  <c r="N10" s="5" t="s">
        <v>16</v>
      </c>
      <c r="O10" s="5" t="s">
        <v>17</v>
      </c>
      <c r="P10" s="5" t="s">
        <v>18</v>
      </c>
      <c r="Q10" s="5" t="s">
        <v>19</v>
      </c>
      <c r="R10" s="5" t="s">
        <v>20</v>
      </c>
      <c r="S10" s="5" t="s">
        <v>21</v>
      </c>
      <c r="T10" s="5" t="s">
        <v>22</v>
      </c>
      <c r="U10" s="5" t="s">
        <v>23</v>
      </c>
      <c r="V10" s="5" t="s">
        <v>24</v>
      </c>
      <c r="W10" s="16" t="s">
        <v>25</v>
      </c>
      <c r="X10" s="16" t="s">
        <v>26</v>
      </c>
      <c r="Y10" s="16" t="s">
        <v>27</v>
      </c>
      <c r="Z10" s="16" t="s">
        <v>28</v>
      </c>
      <c r="AA10" s="3"/>
      <c r="AB10" s="3"/>
    </row>
    <row r="11">
      <c r="A11" s="27"/>
      <c r="B11" s="13" t="s">
        <v>113</v>
      </c>
      <c r="C11" s="19" t="s">
        <v>2069</v>
      </c>
      <c r="D11" s="19" t="s">
        <v>2069</v>
      </c>
      <c r="E11" s="19" t="s">
        <v>2069</v>
      </c>
      <c r="F11" s="19" t="s">
        <v>2069</v>
      </c>
      <c r="G11" s="19" t="s">
        <v>2069</v>
      </c>
      <c r="H11" s="19" t="s">
        <v>2069</v>
      </c>
      <c r="I11" s="19" t="s">
        <v>2069</v>
      </c>
      <c r="J11" s="19" t="s">
        <v>2069</v>
      </c>
      <c r="K11" s="19" t="s">
        <v>2069</v>
      </c>
      <c r="L11" s="19" t="s">
        <v>2069</v>
      </c>
      <c r="M11" s="19" t="s">
        <v>2069</v>
      </c>
      <c r="N11" s="19" t="s">
        <v>2069</v>
      </c>
      <c r="O11" s="19" t="s">
        <v>2070</v>
      </c>
      <c r="P11" s="21" t="s">
        <v>2070</v>
      </c>
      <c r="Q11" s="19" t="s">
        <v>2070</v>
      </c>
      <c r="R11" s="21" t="s">
        <v>2070</v>
      </c>
      <c r="S11" s="19" t="s">
        <v>2070</v>
      </c>
      <c r="T11" s="19" t="s">
        <v>2070</v>
      </c>
      <c r="U11" s="21" t="s">
        <v>2070</v>
      </c>
      <c r="V11" s="19" t="s">
        <v>2070</v>
      </c>
      <c r="W11" s="124"/>
      <c r="X11" s="124"/>
      <c r="Y11" s="124"/>
      <c r="Z11" s="124"/>
      <c r="AA11" s="3"/>
      <c r="AB11" s="3"/>
    </row>
    <row r="12" ht="60.0" customHeight="1">
      <c r="A12" s="27"/>
      <c r="B12" s="29"/>
      <c r="C12" s="34" t="str">
        <f>HYPERLINK("https://www.youtube.com/watch?v=-TGKxUtsapM","คำที่แสดงช่วงเวลาในอดีต ปัจจุบันและอนาคต ตอน 1")</f>
        <v>คำที่แสดงช่วงเวลาในอดีต ปัจจุบันและอนาคต ตอน 1</v>
      </c>
      <c r="D12" s="46" t="s">
        <v>2129</v>
      </c>
      <c r="E12" s="301" t="str">
        <f>HYPERLINK("https://www.youtube.com/watch?v=BzvMd2vhnwo","วันสำคัญในปฏิทินที่แสดงเหตุการณ์สำคัญในอดีตและปัจจุบัน ตอนที่ 1")</f>
        <v>วันสำคัญในปฏิทินที่แสดงเหตุการณ์สำคัญในอดีตและปัจจุบัน ตอนที่ 1</v>
      </c>
      <c r="F12" s="46" t="s">
        <v>2132</v>
      </c>
      <c r="G12" s="301" t="str">
        <f>HYPERLINK("https://www.youtube.com/watch?v=7C1VfIPvIkU","การใช้คำบอกช่วงเวลา อดีต ปัจจุบัน และอนาคต แสดงเหตุการณ์ได้ ตอนที่ 1")</f>
        <v>การใช้คำบอกช่วงเวลา อดีต ปัจจุบัน และอนาคต แสดงเหตุการณ์ได้ ตอนที่ 1</v>
      </c>
      <c r="H12" s="301" t="str">
        <f>HYPERLINK("https://www.youtube.com/watch?v=Ieo4HhCOg3s","การใช้คำบอกช่วงเวลา อดีต ปัจจุบัน และอนาคต แสดงเหตุการณ์ได้ ตอนที่ 2")</f>
        <v>การใช้คำบอกช่วงเวลา อดีต ปัจจุบัน และอนาคต แสดงเหตุการณ์ได้ ตอนที่ 2</v>
      </c>
      <c r="I12" s="301" t="str">
        <f>HYPERLINK("https://www.youtube.com/watch?v=63Xwv3F90Sw","วิธีการสืบค้นเหตุการณ์ที่ผ่านมาแล้วที่เกิดขึ้นกับตัวเองและครอบครัว ตอนที 1")</f>
        <v>วิธีการสืบค้นเหตุการณ์ที่ผ่านมาแล้วที่เกิดขึ้นกับตัวเองและครอบครัว ตอนที 1</v>
      </c>
      <c r="J12" s="301" t="str">
        <f>HYPERLINK("https://www.youtube.com/watch?v=5Jq_v3Gwbno","วิธีการสืบค้นเหตุการณ์ที่ผ่านมาแล้วที่เกิดขึ้นกับตัวเองและครอบครัว ตอนที 2")</f>
        <v>วิธีการสืบค้นเหตุการณ์ที่ผ่านมาแล้วที่เกิดขึ้นกับตัวเองและครอบครัว ตอนที 2</v>
      </c>
      <c r="K12" s="55" t="s">
        <v>2148</v>
      </c>
      <c r="L12" s="55" t="s">
        <v>2149</v>
      </c>
      <c r="M12" s="55" t="s">
        <v>2150</v>
      </c>
      <c r="N12" s="55" t="s">
        <v>2152</v>
      </c>
      <c r="O12" s="55" t="s">
        <v>2154</v>
      </c>
      <c r="P12" s="55" t="s">
        <v>2155</v>
      </c>
      <c r="Q12" s="46" t="s">
        <v>2157</v>
      </c>
      <c r="R12" s="46" t="s">
        <v>2159</v>
      </c>
      <c r="S12" s="46" t="s">
        <v>2160</v>
      </c>
      <c r="T12" s="46" t="s">
        <v>2162</v>
      </c>
      <c r="U12" s="55" t="s">
        <v>2163</v>
      </c>
      <c r="V12" s="46" t="s">
        <v>2164</v>
      </c>
      <c r="W12" s="48" t="s">
        <v>2165</v>
      </c>
      <c r="X12" s="48" t="s">
        <v>2166</v>
      </c>
      <c r="Y12" s="48" t="s">
        <v>2168</v>
      </c>
      <c r="Z12" s="48" t="s">
        <v>2169</v>
      </c>
      <c r="AA12" s="3"/>
      <c r="AB12" s="3"/>
    </row>
    <row r="13">
      <c r="A13" s="27"/>
      <c r="B13" s="29"/>
      <c r="C13" s="10" t="s">
        <v>2172</v>
      </c>
      <c r="D13" s="10" t="s">
        <v>2172</v>
      </c>
      <c r="E13" s="10" t="s">
        <v>2172</v>
      </c>
      <c r="F13" s="10" t="s">
        <v>2172</v>
      </c>
      <c r="G13" s="10" t="s">
        <v>2172</v>
      </c>
      <c r="H13" s="10" t="s">
        <v>2172</v>
      </c>
      <c r="I13" s="10" t="s">
        <v>2172</v>
      </c>
      <c r="J13" s="10" t="s">
        <v>2172</v>
      </c>
      <c r="K13" s="75" t="s">
        <v>2174</v>
      </c>
      <c r="L13" s="75" t="s">
        <v>2174</v>
      </c>
      <c r="M13" s="75" t="s">
        <v>2174</v>
      </c>
      <c r="N13" s="75" t="s">
        <v>2174</v>
      </c>
      <c r="O13" s="64" t="s">
        <v>2175</v>
      </c>
      <c r="P13" s="66" t="s">
        <v>2175</v>
      </c>
      <c r="Q13" s="64" t="s">
        <v>2175</v>
      </c>
      <c r="R13" s="305" t="s">
        <v>2175</v>
      </c>
      <c r="S13" s="305" t="s">
        <v>2175</v>
      </c>
      <c r="T13" s="64" t="s">
        <v>2175</v>
      </c>
      <c r="U13" s="66" t="s">
        <v>2175</v>
      </c>
      <c r="V13" s="58" t="s">
        <v>2175</v>
      </c>
      <c r="W13" s="75" t="s">
        <v>2177</v>
      </c>
      <c r="X13" s="75" t="s">
        <v>2177</v>
      </c>
      <c r="Y13" s="75" t="s">
        <v>2177</v>
      </c>
      <c r="Z13" s="75" t="s">
        <v>2177</v>
      </c>
      <c r="AA13" s="3"/>
      <c r="AB13" s="3"/>
    </row>
    <row r="14">
      <c r="A14" s="27"/>
      <c r="B14" s="29"/>
      <c r="C14" s="10" t="s">
        <v>2100</v>
      </c>
      <c r="D14" s="10" t="s">
        <v>2100</v>
      </c>
      <c r="E14" s="10" t="s">
        <v>2100</v>
      </c>
      <c r="F14" s="10" t="s">
        <v>2100</v>
      </c>
      <c r="G14" s="10" t="s">
        <v>2100</v>
      </c>
      <c r="H14" s="10" t="s">
        <v>2100</v>
      </c>
      <c r="I14" s="10" t="s">
        <v>2100</v>
      </c>
      <c r="J14" s="10" t="s">
        <v>2100</v>
      </c>
      <c r="K14" s="75" t="s">
        <v>1490</v>
      </c>
      <c r="L14" s="75" t="s">
        <v>1490</v>
      </c>
      <c r="M14" s="75" t="s">
        <v>1490</v>
      </c>
      <c r="N14" s="75" t="s">
        <v>1490</v>
      </c>
      <c r="O14" s="64" t="s">
        <v>2102</v>
      </c>
      <c r="P14" s="66" t="s">
        <v>2102</v>
      </c>
      <c r="Q14" s="64" t="s">
        <v>2102</v>
      </c>
      <c r="R14" s="305" t="s">
        <v>2102</v>
      </c>
      <c r="S14" s="305" t="s">
        <v>2102</v>
      </c>
      <c r="T14" s="64" t="s">
        <v>2102</v>
      </c>
      <c r="U14" s="66" t="s">
        <v>2102</v>
      </c>
      <c r="V14" s="58" t="s">
        <v>2102</v>
      </c>
      <c r="W14" s="75" t="s">
        <v>2102</v>
      </c>
      <c r="X14" s="75" t="s">
        <v>2102</v>
      </c>
      <c r="Y14" s="75" t="s">
        <v>2102</v>
      </c>
      <c r="Z14" s="75" t="s">
        <v>2102</v>
      </c>
      <c r="AA14" s="3"/>
      <c r="AB14" s="3"/>
    </row>
    <row r="15">
      <c r="A15" s="27"/>
      <c r="B15" s="29"/>
      <c r="C15" s="10" t="s">
        <v>625</v>
      </c>
      <c r="D15" s="10" t="s">
        <v>625</v>
      </c>
      <c r="E15" s="10" t="s">
        <v>625</v>
      </c>
      <c r="F15" s="10" t="s">
        <v>625</v>
      </c>
      <c r="G15" s="10" t="s">
        <v>625</v>
      </c>
      <c r="H15" s="10" t="s">
        <v>625</v>
      </c>
      <c r="I15" s="10" t="s">
        <v>625</v>
      </c>
      <c r="J15" s="10" t="s">
        <v>625</v>
      </c>
      <c r="K15" s="75" t="s">
        <v>236</v>
      </c>
      <c r="L15" s="75" t="s">
        <v>236</v>
      </c>
      <c r="M15" s="75" t="s">
        <v>236</v>
      </c>
      <c r="N15" s="75" t="s">
        <v>236</v>
      </c>
      <c r="O15" s="64" t="s">
        <v>314</v>
      </c>
      <c r="P15" s="66" t="s">
        <v>314</v>
      </c>
      <c r="Q15" s="64" t="s">
        <v>314</v>
      </c>
      <c r="R15" s="305" t="s">
        <v>314</v>
      </c>
      <c r="S15" s="305" t="s">
        <v>314</v>
      </c>
      <c r="T15" s="64" t="s">
        <v>314</v>
      </c>
      <c r="U15" s="66" t="s">
        <v>314</v>
      </c>
      <c r="V15" s="58" t="s">
        <v>314</v>
      </c>
      <c r="W15" s="75" t="s">
        <v>314</v>
      </c>
      <c r="X15" s="75" t="s">
        <v>314</v>
      </c>
      <c r="Y15" s="75" t="s">
        <v>314</v>
      </c>
      <c r="Z15" s="75" t="s">
        <v>314</v>
      </c>
      <c r="AA15" s="3"/>
      <c r="AB15" s="3"/>
    </row>
    <row r="16">
      <c r="A16" s="27"/>
      <c r="B16" s="29"/>
      <c r="C16" s="91" t="s">
        <v>2186</v>
      </c>
      <c r="D16" s="306" t="s">
        <v>2188</v>
      </c>
      <c r="E16" s="306" t="s">
        <v>2191</v>
      </c>
      <c r="F16" s="91" t="s">
        <v>2193</v>
      </c>
      <c r="G16" s="307" t="s">
        <v>2195</v>
      </c>
      <c r="H16" s="307" t="s">
        <v>2196</v>
      </c>
      <c r="I16" s="307" t="s">
        <v>2197</v>
      </c>
      <c r="J16" s="307" t="s">
        <v>2198</v>
      </c>
      <c r="K16" s="137" t="s">
        <v>2199</v>
      </c>
      <c r="L16" s="91" t="s">
        <v>2200</v>
      </c>
      <c r="M16" s="91" t="s">
        <v>2201</v>
      </c>
      <c r="N16" s="91" t="s">
        <v>2202</v>
      </c>
      <c r="O16" s="91" t="s">
        <v>2203</v>
      </c>
      <c r="P16" s="91" t="s">
        <v>2204</v>
      </c>
      <c r="Q16" s="91" t="s">
        <v>2205</v>
      </c>
      <c r="R16" s="91" t="s">
        <v>2206</v>
      </c>
      <c r="S16" s="91" t="s">
        <v>2207</v>
      </c>
      <c r="T16" s="91" t="s">
        <v>2208</v>
      </c>
      <c r="U16" s="91" t="s">
        <v>2209</v>
      </c>
      <c r="V16" s="91" t="s">
        <v>2210</v>
      </c>
      <c r="W16" s="85" t="s">
        <v>2211</v>
      </c>
      <c r="X16" s="85" t="s">
        <v>2212</v>
      </c>
      <c r="Y16" s="85" t="s">
        <v>2213</v>
      </c>
      <c r="Z16" s="85" t="s">
        <v>2214</v>
      </c>
      <c r="AA16" s="3"/>
      <c r="AB16" s="3"/>
    </row>
    <row r="17">
      <c r="A17" s="27"/>
      <c r="B17" s="79"/>
      <c r="C17" s="152" t="s">
        <v>31</v>
      </c>
      <c r="D17" s="152" t="s">
        <v>31</v>
      </c>
      <c r="E17" s="152" t="s">
        <v>31</v>
      </c>
      <c r="F17" s="152" t="s">
        <v>31</v>
      </c>
      <c r="G17" s="152" t="s">
        <v>31</v>
      </c>
      <c r="H17" s="152" t="s">
        <v>31</v>
      </c>
      <c r="I17" s="152" t="s">
        <v>31</v>
      </c>
      <c r="J17" s="152" t="s">
        <v>31</v>
      </c>
      <c r="K17" s="98" t="str">
        <f>HYPERLINK("https://drive.google.com/folderview?id=0B4mky1MMW8dYfjdIUVNjRFNNZXExSzNGUE53TXQzbkZQZFQ0TGdvdWZ3ZUw1bnpvMDc1WEE&amp;usp=sharing","ดาวน์โหลดเอกสารประกอบ")</f>
        <v>ดาวน์โหลดเอกสารประกอบ</v>
      </c>
      <c r="L17" s="98" t="str">
        <f>HYPERLINK("https://drive.google.com/folderview?id=0B4mky1MMW8dYfnA0WjNISUl1alQxRjNvZGZBS2dmSi1rQmJOdGtubFFTM0liUzdNdjJXSGM&amp;usp=sharing","ดาวน์โหลดเอกสารประกอบ")</f>
        <v>ดาวน์โหลดเอกสารประกอบ</v>
      </c>
      <c r="M17" s="98" t="str">
        <f>HYPERLINK("https://drive.google.com/folderview?id=0B4mky1MMW8dYfnRFdzB5WF9hak9OMFNaOHdSOHk5Z1dGV0VralRfU0dfN2luejVaTDY3aTQ&amp;usp=sharing","ดาวน์โหลดเอกสารประกอบ")</f>
        <v>ดาวน์โหลดเอกสารประกอบ</v>
      </c>
      <c r="N17" s="98" t="str">
        <f>HYPERLINK("https://drive.google.com/folderview?id=0B4mky1MMW8dYfndOa2hXVkVyRkpwdzRUdHdZYk5HSGpIbnZNUTJkSkxOWmZkbnlxQmJsT0U&amp;usp=sharing","ดาวน์โหลดเอกสารประกอบ")</f>
        <v>ดาวน์โหลดเอกสารประกอบ</v>
      </c>
      <c r="O17" s="152" t="s">
        <v>31</v>
      </c>
      <c r="P17" s="98" t="str">
        <f>HYPERLINK("https://drive.google.com/folderview?id=0B4mky1MMW8dYflRkMWxCM051a2wwZmo4Yk44d1hzaWhLNkhLaWJXRkNPQllWeVh2YWo2NWs&amp;usp=sharing","ดาวน์โหลดเอกสารประกอบ")</f>
        <v>ดาวน์โหลดเอกสารประกอบ</v>
      </c>
      <c r="Q17" s="98" t="str">
        <f>HYPERLINK("https://drive.google.com/folderview?id=0B4mky1MMW8dYfnVpVVduYmU4ODVFTFVpY1RBbDgwOWtYbzN3OXkxVlljN2U5TDRkR2NaLVk&amp;usp=sharing","ดาวน์โหลดเอกสารประกอบ")</f>
        <v>ดาวน์โหลดเอกสารประกอบ</v>
      </c>
      <c r="R17" s="98" t="str">
        <f>HYPERLINK("https://drive.google.com/folderview?id=0B4mky1MMW8dYflp0NTBTcDY1cFVwOXBtNXRLOXp2UnlaSG91d3ZtdzRhOTY4MVc0NC1QcXc&amp;usp=sharing","ดาวน์โหลดเอกสารประกอบ")</f>
        <v>ดาวน์โหลดเอกสารประกอบ</v>
      </c>
      <c r="S17" s="98" t="str">
        <f>HYPERLINK("https://drive.google.com/folderview?id=0B4mky1MMW8dYfi1CZlpYc25jR1dRM3Frb3NPUHZPdU54bVZITy1oeTNtVHJUb0YwVE9OLWs&amp;usp=sharing","ดาวน์โหลดเอกสารประกอบ")</f>
        <v>ดาวน์โหลดเอกสารประกอบ</v>
      </c>
      <c r="T17" s="98" t="str">
        <f>HYPERLINK("https://drive.google.com/folderview?id=0B4mky1MMW8dYfkhkaUoyQVZEMnRFRFdEQ0t6U2FfVHlOMmJvZC1oZ0MwVGdCVWdFQWxFVEU&amp;usp=sharing","ดาวน์โหลดเอกสารประกอบ")</f>
        <v>ดาวน์โหลดเอกสารประกอบ</v>
      </c>
      <c r="U17" s="98" t="str">
        <f>HYPERLINK("https://drive.google.com/folderview?id=0B4mky1MMW8dYfmhIR1lvc05QT2VOREZPNEVuX3A4WWYxd3RyY3ZyTWVIeTNOUFQyTVgwLUE&amp;usp=sharing","ดาวน์โหลดเอกสารประกอบ")</f>
        <v>ดาวน์โหลดเอกสารประกอบ</v>
      </c>
      <c r="V17" s="98" t="str">
        <f>HYPERLINK("https://drive.google.com/folderview?id=0B4mky1MMW8dYfnpuTExnazA3OUFmS2RnQ0M0NG1DcU1Vck9RSWlPRVR3UWg4R3hKTk5vX2M&amp;usp=sharing","ดาวน์โหลดเอกสารประกอบ")</f>
        <v>ดาวน์โหลดเอกสารประกอบ</v>
      </c>
      <c r="W17" s="315" t="s">
        <v>31</v>
      </c>
      <c r="X17" s="315" t="s">
        <v>31</v>
      </c>
      <c r="Y17" s="315" t="s">
        <v>31</v>
      </c>
      <c r="Z17" s="315" t="s">
        <v>31</v>
      </c>
      <c r="AA17" s="3"/>
      <c r="AB17" s="3"/>
    </row>
    <row r="18">
      <c r="A18" s="27"/>
      <c r="B18" s="5" t="s">
        <v>3</v>
      </c>
      <c r="C18" s="5" t="s">
        <v>4</v>
      </c>
      <c r="D18" s="6" t="s">
        <v>5</v>
      </c>
      <c r="E18" s="5" t="s">
        <v>6</v>
      </c>
      <c r="F18" s="5" t="s">
        <v>8</v>
      </c>
      <c r="G18" s="5" t="s">
        <v>9</v>
      </c>
      <c r="H18" s="5" t="s">
        <v>10</v>
      </c>
      <c r="I18" s="5" t="s">
        <v>11</v>
      </c>
      <c r="J18" s="5" t="s">
        <v>12</v>
      </c>
      <c r="K18" s="5" t="s">
        <v>13</v>
      </c>
      <c r="L18" s="5" t="s">
        <v>14</v>
      </c>
      <c r="M18" s="5" t="s">
        <v>15</v>
      </c>
      <c r="N18" s="5" t="s">
        <v>16</v>
      </c>
      <c r="O18" s="5" t="s">
        <v>17</v>
      </c>
      <c r="P18" s="5" t="s">
        <v>18</v>
      </c>
      <c r="Q18" s="5" t="s">
        <v>19</v>
      </c>
      <c r="R18" s="5" t="s">
        <v>20</v>
      </c>
      <c r="S18" s="5" t="s">
        <v>21</v>
      </c>
      <c r="T18" s="5" t="s">
        <v>22</v>
      </c>
      <c r="U18" s="5" t="s">
        <v>23</v>
      </c>
      <c r="V18" s="5" t="s">
        <v>24</v>
      </c>
      <c r="W18" s="16" t="s">
        <v>25</v>
      </c>
      <c r="X18" s="16" t="s">
        <v>25</v>
      </c>
      <c r="Y18" s="16" t="s">
        <v>25</v>
      </c>
      <c r="Z18" s="16" t="s">
        <v>25</v>
      </c>
      <c r="AA18" s="3"/>
      <c r="AB18" s="3"/>
    </row>
    <row r="19">
      <c r="A19" s="27"/>
      <c r="B19" s="13" t="s">
        <v>140</v>
      </c>
      <c r="C19" s="139" t="s">
        <v>2066</v>
      </c>
      <c r="D19" s="21" t="s">
        <v>2066</v>
      </c>
      <c r="E19" s="140" t="s">
        <v>2066</v>
      </c>
      <c r="F19" s="19" t="s">
        <v>2066</v>
      </c>
      <c r="G19" s="19" t="s">
        <v>2066</v>
      </c>
      <c r="H19" s="19" t="s">
        <v>2066</v>
      </c>
      <c r="I19" s="19" t="s">
        <v>2066</v>
      </c>
      <c r="J19" s="19" t="s">
        <v>2066</v>
      </c>
      <c r="K19" s="19" t="s">
        <v>2066</v>
      </c>
      <c r="L19" s="19" t="s">
        <v>2066</v>
      </c>
      <c r="M19" s="19" t="s">
        <v>2066</v>
      </c>
      <c r="N19" s="19" t="s">
        <v>2066</v>
      </c>
      <c r="O19" s="19" t="s">
        <v>2066</v>
      </c>
      <c r="P19" s="19" t="s">
        <v>2066</v>
      </c>
      <c r="Q19" s="19" t="s">
        <v>2066</v>
      </c>
      <c r="R19" s="19" t="s">
        <v>2066</v>
      </c>
      <c r="S19" s="19" t="s">
        <v>2066</v>
      </c>
      <c r="T19" s="19" t="s">
        <v>2066</v>
      </c>
      <c r="U19" s="19"/>
      <c r="V19" s="21"/>
      <c r="W19" s="141" t="s">
        <v>2238</v>
      </c>
      <c r="X19" s="141" t="s">
        <v>2238</v>
      </c>
      <c r="Y19" s="141" t="s">
        <v>2067</v>
      </c>
      <c r="Z19" s="141" t="s">
        <v>2072</v>
      </c>
      <c r="AA19" s="3"/>
      <c r="AB19" s="3"/>
    </row>
    <row r="20" ht="45.0" customHeight="1">
      <c r="A20" s="27"/>
      <c r="B20" s="29"/>
      <c r="C20" s="37" t="str">
        <f>HYPERLINK("https://www.youtube.com/watch?v=s9h6K_7-w8I","ประเพณีปีใหม่ล้านนา (วันสงกรานต์) ตอนที่ 1")</f>
        <v>ประเพณีปีใหม่ล้านนา (วันสงกรานต์) ตอนที่ 1</v>
      </c>
      <c r="D20" s="39" t="str">
        <f>HYPERLINK("https://www.youtube.com/watch?v=WhwwVgDbKuA","ประเพณีปีใหม่ล้านนา (วันสงกรานต์) ตอน 2")</f>
        <v>ประเพณีปีใหม่ล้านนา (วันสงกรานต์) ตอน 2</v>
      </c>
      <c r="E20" s="235" t="str">
        <f>HYPERLINK("https://www.youtube.com/watch?v=AY5L2I_2sYM","วันวิสาขบูชา ตอน 1")</f>
        <v>วันวิสาขบูชา ตอน 1</v>
      </c>
      <c r="F20" s="34" t="str">
        <f>HYPERLINK("https://www.youtube.com/watch?v=ZizIQztvO9c","วันวิสาขบูชา ตอน 2")</f>
        <v>วันวิสาขบูชา ตอน 2</v>
      </c>
      <c r="G20" s="46" t="s">
        <v>2248</v>
      </c>
      <c r="H20" s="46" t="s">
        <v>2249</v>
      </c>
      <c r="I20" s="55" t="s">
        <v>2250</v>
      </c>
      <c r="J20" s="55" t="s">
        <v>2252</v>
      </c>
      <c r="K20" s="55" t="s">
        <v>2253</v>
      </c>
      <c r="L20" s="55" t="s">
        <v>2254</v>
      </c>
      <c r="M20" s="55" t="s">
        <v>2256</v>
      </c>
      <c r="N20" s="55" t="s">
        <v>2257</v>
      </c>
      <c r="O20" s="55" t="s">
        <v>2258</v>
      </c>
      <c r="P20" s="55" t="s">
        <v>2259</v>
      </c>
      <c r="Q20" s="55" t="s">
        <v>2260</v>
      </c>
      <c r="R20" s="55" t="s">
        <v>2261</v>
      </c>
      <c r="S20" s="55" t="s">
        <v>2262</v>
      </c>
      <c r="T20" s="55" t="s">
        <v>2263</v>
      </c>
      <c r="U20" s="55" t="s">
        <v>2265</v>
      </c>
      <c r="V20" s="55" t="s">
        <v>2266</v>
      </c>
      <c r="W20" s="55" t="s">
        <v>2267</v>
      </c>
      <c r="X20" s="55" t="s">
        <v>2268</v>
      </c>
      <c r="Y20" s="55" t="s">
        <v>2269</v>
      </c>
      <c r="Z20" s="55" t="s">
        <v>2270</v>
      </c>
      <c r="AA20" s="3"/>
      <c r="AB20" s="3"/>
    </row>
    <row r="21">
      <c r="A21" s="27"/>
      <c r="B21" s="29"/>
      <c r="C21" s="4" t="s">
        <v>2272</v>
      </c>
      <c r="D21" s="10" t="s">
        <v>2272</v>
      </c>
      <c r="E21" s="60" t="s">
        <v>2272</v>
      </c>
      <c r="F21" s="10" t="s">
        <v>2272</v>
      </c>
      <c r="G21" s="10" t="s">
        <v>2273</v>
      </c>
      <c r="H21" s="10" t="s">
        <v>2273</v>
      </c>
      <c r="I21" s="75" t="s">
        <v>2274</v>
      </c>
      <c r="J21" s="75" t="s">
        <v>2274</v>
      </c>
      <c r="K21" s="75" t="s">
        <v>2274</v>
      </c>
      <c r="L21" s="75" t="s">
        <v>2274</v>
      </c>
      <c r="M21" s="75" t="s">
        <v>2274</v>
      </c>
      <c r="N21" s="75" t="s">
        <v>2274</v>
      </c>
      <c r="O21" s="75" t="s">
        <v>2274</v>
      </c>
      <c r="P21" s="75" t="s">
        <v>2274</v>
      </c>
      <c r="Q21" s="75" t="s">
        <v>2275</v>
      </c>
      <c r="R21" s="75" t="s">
        <v>2275</v>
      </c>
      <c r="S21" s="75" t="s">
        <v>2275</v>
      </c>
      <c r="T21" s="75" t="s">
        <v>2275</v>
      </c>
      <c r="U21" s="66" t="s">
        <v>2175</v>
      </c>
      <c r="V21" s="66" t="s">
        <v>2175</v>
      </c>
      <c r="W21" s="75" t="s">
        <v>2276</v>
      </c>
      <c r="X21" s="75" t="s">
        <v>2276</v>
      </c>
      <c r="Y21" s="75" t="s">
        <v>2276</v>
      </c>
      <c r="Z21" s="75" t="s">
        <v>2276</v>
      </c>
      <c r="AA21" s="3"/>
      <c r="AB21" s="3"/>
    </row>
    <row r="22">
      <c r="A22" s="27"/>
      <c r="B22" s="29"/>
      <c r="C22" s="4" t="s">
        <v>2277</v>
      </c>
      <c r="D22" s="10" t="s">
        <v>2277</v>
      </c>
      <c r="E22" s="60" t="s">
        <v>2277</v>
      </c>
      <c r="F22" s="10" t="s">
        <v>2277</v>
      </c>
      <c r="G22" s="10" t="s">
        <v>2100</v>
      </c>
      <c r="H22" s="10" t="s">
        <v>2100</v>
      </c>
      <c r="I22" s="75" t="s">
        <v>2278</v>
      </c>
      <c r="J22" s="75" t="s">
        <v>2278</v>
      </c>
      <c r="K22" s="75" t="s">
        <v>2278</v>
      </c>
      <c r="L22" s="75" t="s">
        <v>2278</v>
      </c>
      <c r="M22" s="75" t="s">
        <v>2278</v>
      </c>
      <c r="N22" s="75" t="s">
        <v>2278</v>
      </c>
      <c r="O22" s="75" t="s">
        <v>2278</v>
      </c>
      <c r="P22" s="75" t="s">
        <v>2278</v>
      </c>
      <c r="Q22" s="75" t="s">
        <v>2279</v>
      </c>
      <c r="R22" s="75" t="s">
        <v>2279</v>
      </c>
      <c r="S22" s="75" t="s">
        <v>2279</v>
      </c>
      <c r="T22" s="75" t="s">
        <v>2279</v>
      </c>
      <c r="U22" s="66" t="s">
        <v>2102</v>
      </c>
      <c r="V22" s="66" t="s">
        <v>2102</v>
      </c>
      <c r="W22" s="75" t="s">
        <v>2280</v>
      </c>
      <c r="X22" s="75" t="s">
        <v>2280</v>
      </c>
      <c r="Y22" s="75" t="s">
        <v>2280</v>
      </c>
      <c r="Z22" s="75" t="s">
        <v>2280</v>
      </c>
      <c r="AA22" s="3"/>
      <c r="AB22" s="3"/>
    </row>
    <row r="23">
      <c r="A23" s="27"/>
      <c r="B23" s="29"/>
      <c r="C23" s="4" t="s">
        <v>2286</v>
      </c>
      <c r="D23" s="10" t="s">
        <v>2286</v>
      </c>
      <c r="E23" s="60" t="s">
        <v>2286</v>
      </c>
      <c r="F23" s="10" t="s">
        <v>2286</v>
      </c>
      <c r="G23" s="10" t="s">
        <v>625</v>
      </c>
      <c r="H23" s="10" t="s">
        <v>625</v>
      </c>
      <c r="I23" s="75" t="s">
        <v>235</v>
      </c>
      <c r="J23" s="75" t="s">
        <v>235</v>
      </c>
      <c r="K23" s="75" t="s">
        <v>235</v>
      </c>
      <c r="L23" s="75" t="s">
        <v>235</v>
      </c>
      <c r="M23" s="75" t="s">
        <v>235</v>
      </c>
      <c r="N23" s="75" t="s">
        <v>235</v>
      </c>
      <c r="O23" s="75" t="s">
        <v>235</v>
      </c>
      <c r="P23" s="75" t="s">
        <v>235</v>
      </c>
      <c r="Q23" s="75" t="s">
        <v>235</v>
      </c>
      <c r="R23" s="75" t="s">
        <v>235</v>
      </c>
      <c r="S23" s="75" t="s">
        <v>235</v>
      </c>
      <c r="T23" s="75" t="s">
        <v>235</v>
      </c>
      <c r="U23" s="66" t="s">
        <v>314</v>
      </c>
      <c r="V23" s="66" t="s">
        <v>314</v>
      </c>
      <c r="W23" s="75" t="s">
        <v>105</v>
      </c>
      <c r="X23" s="75" t="s">
        <v>105</v>
      </c>
      <c r="Y23" s="75" t="s">
        <v>105</v>
      </c>
      <c r="Z23" s="75" t="s">
        <v>105</v>
      </c>
      <c r="AA23" s="3"/>
      <c r="AB23" s="3"/>
    </row>
    <row r="24">
      <c r="A24" s="27"/>
      <c r="B24" s="29"/>
      <c r="C24" s="106" t="s">
        <v>2297</v>
      </c>
      <c r="D24" s="316" t="str">
        <f>HYPERLINK("https://www.youtube.com/watch?v=WhwwVgDbKuA","https://www.youtube.com/watch?v=WhwwVgDbKuA")</f>
        <v>https://www.youtube.com/watch?v=WhwwVgDbKuA</v>
      </c>
      <c r="E24" s="110" t="s">
        <v>2315</v>
      </c>
      <c r="F24" s="98" t="s">
        <v>2316</v>
      </c>
      <c r="G24" s="91" t="s">
        <v>2317</v>
      </c>
      <c r="H24" s="91" t="s">
        <v>2318</v>
      </c>
      <c r="I24" s="91" t="s">
        <v>2319</v>
      </c>
      <c r="J24" s="91" t="s">
        <v>2320</v>
      </c>
      <c r="K24" s="91" t="s">
        <v>2322</v>
      </c>
      <c r="L24" s="91" t="s">
        <v>2324</v>
      </c>
      <c r="M24" s="91" t="s">
        <v>2326</v>
      </c>
      <c r="N24" s="91" t="s">
        <v>2328</v>
      </c>
      <c r="O24" s="91" t="s">
        <v>2330</v>
      </c>
      <c r="P24" s="91" t="s">
        <v>2332</v>
      </c>
      <c r="Q24" s="91" t="s">
        <v>2334</v>
      </c>
      <c r="R24" s="91" t="s">
        <v>2336</v>
      </c>
      <c r="S24" s="91" t="s">
        <v>2337</v>
      </c>
      <c r="T24" s="91" t="s">
        <v>2339</v>
      </c>
      <c r="U24" s="91" t="s">
        <v>2342</v>
      </c>
      <c r="V24" s="91" t="s">
        <v>2345</v>
      </c>
      <c r="W24" s="91" t="s">
        <v>2347</v>
      </c>
      <c r="X24" s="91" t="s">
        <v>2348</v>
      </c>
      <c r="Y24" s="91" t="s">
        <v>2350</v>
      </c>
      <c r="Z24" s="211"/>
      <c r="AA24" s="3"/>
      <c r="AB24" s="3"/>
    </row>
    <row r="25">
      <c r="A25" s="27"/>
      <c r="B25" s="79"/>
      <c r="C25" s="98" t="str">
        <f>HYPERLINK("https://drive.google.com/folderview?id=0B4mky1MMW8dYfi03OW1KUUhrX2lYRm1zcTFkVHExLWx2dGk2OVUxUUpiZ3NfVjJXa3VFUVE&amp;usp=sharing","ดาวน์โหลดเอกสารประกอบ")</f>
        <v>ดาวน์โหลดเอกสารประกอบ</v>
      </c>
      <c r="D25" s="98" t="str">
        <f>HYPERLINK("https://drive.google.com/folderview?id=0B4mky1MMW8dYfjlOc1VLV25pR1VHaUM4ZTJpcmk2ODExdHZFQkpjSU5aRUtIYkZ5eERBckU&amp;usp=sharing","ดาวน์โหลดเอกสารประกอบ")</f>
        <v>ดาวน์โหลดเอกสารประกอบ</v>
      </c>
      <c r="E25" s="98" t="str">
        <f>HYPERLINK("https://drive.google.com/folderview?id=0B4mky1MMW8dYfkllRThZU0dHWkNhLXlxcEFQaGR1NURBR2h5Tlo4MEREUW9oMXFNV25oUGM&amp;usp=sharing","ดาวน์โหลดเอกสารประกอบ")</f>
        <v>ดาวน์โหลดเอกสารประกอบ</v>
      </c>
      <c r="F25" s="98" t="str">
        <f>HYPERLINK("https://drive.google.com/folderview?id=0B4mky1MMW8dYfmlpUFNQc19XbTBzazRqRFNrODhVLWNPMWpNVUJIdEpDOTBlSlhxYzJqMEk&amp;usp=sharing","ดาวน์โหลดเอกสารประกอบ")</f>
        <v>ดาวน์โหลดเอกสารประกอบ</v>
      </c>
      <c r="G25" s="152" t="s">
        <v>31</v>
      </c>
      <c r="H25" s="152" t="s">
        <v>31</v>
      </c>
      <c r="I25" s="98" t="str">
        <f>HYPERLINK("https://drive.google.com/folderview?id=0B0x_dulH5-nEfldHTDRWa19pQ2gyNzZfczhPTkZVRGtSNXdUcE8tTEU0TXlGR1c0Q1Y0bGM&amp;usp=sharing","ดาวน์โหลดเอกสารประกอบ")</f>
        <v>ดาวน์โหลดเอกสารประกอบ</v>
      </c>
      <c r="J25" s="98" t="str">
        <f>HYPERLINK("https://drive.google.com/folderview?id=0B0x_dulH5-nEfjJGWVF2bWVPa1FGQnJhTWRIblA4bDZWdmx4VnNBVmJUN0p1dGhTZ1NRNmc&amp;usp=sharing","ดาวน์โหลดเอกสารประกอบ")</f>
        <v>ดาวน์โหลดเอกสารประกอบ</v>
      </c>
      <c r="K25" s="98" t="str">
        <f>HYPERLINK("https://drive.google.com/folderview?id=0B0x_dulH5-nEfm1ocHNNN2FzQ0dzWVZDX3FFTE9RRlFJbll1Tng2YXZXNWJiWUZOZVZXdmM&amp;usp=sharing","ดาวน์โหลดเอกสารประกอบ")</f>
        <v>ดาวน์โหลดเอกสารประกอบ</v>
      </c>
      <c r="L25" s="98" t="str">
        <f>HYPERLINK("https://drive.google.com/folderview?id=0B0x_dulH5-nEfmg4Mlc2d3VaS3lKVkdrN09POFI3QkFjODkzMjU2X0ozUndpU19xcWowTVk&amp;usp=sharing","ดาวน์โหลดเอกสารประกอบ")</f>
        <v>ดาวน์โหลดเอกสารประกอบ</v>
      </c>
      <c r="M25" s="98" t="str">
        <f>HYPERLINK("https://drive.google.com/folderview?id=0B0x_dulH5-nEfkhyNDRjRDJoN0tkUFVDc3NBcDVZMWFJeXQtaEpScEFtUnl3ZExUTXdaSUU&amp;usp=sharing","ดาวน์โหลดเอกสารประกอบ")</f>
        <v>ดาวน์โหลดเอกสารประกอบ</v>
      </c>
      <c r="N25" s="98" t="str">
        <f>HYPERLINK("https://drive.google.com/folderview?id=0B0x_dulH5-nEfkJaT09DUDl4YTk2S1UxNmcxTkxMdExoWVZRYTJPVW9EX2FfdXFoOUp6cGc&amp;usp=sharing","ดาวน์โหลดเอกสารประกอบ")</f>
        <v>ดาวน์โหลดเอกสารประกอบ</v>
      </c>
      <c r="O25" s="98" t="str">
        <f>HYPERLINK("https://drive.google.com/folderview?id=0B0x_dulH5-nEflJXdmZHd2pHQ19nUm5CTVd4bXdHa3NHbFFid21IQVpJMmk2eXJJYjlES28&amp;usp=sharing","ดาวน์โหลดเอกสารประกอบ")</f>
        <v>ดาวน์โหลดเอกสารประกอบ</v>
      </c>
      <c r="P25" s="98" t="str">
        <f>HYPERLINK("https://drive.google.com/folderview?id=0B0x_dulH5-nEfmRwVjlJVUlWaXN5LWJOZDl3dmJ6T2dSbEdqLTdkb1czVXpnRktDZDVQMVU&amp;usp=sharing","ดาวน์โหลดเอกสารประกอบ")</f>
        <v>ดาวน์โหลดเอกสารประกอบ</v>
      </c>
      <c r="Q25" s="152" t="s">
        <v>195</v>
      </c>
      <c r="R25" s="152" t="s">
        <v>195</v>
      </c>
      <c r="S25" s="152" t="s">
        <v>195</v>
      </c>
      <c r="T25" s="152" t="s">
        <v>195</v>
      </c>
      <c r="U25" s="98" t="str">
        <f>HYPERLINK("https://drive.google.com/folderview?id=0B4mky1MMW8dYfnRDekVJcWNjeDJ2QUlxUTluYjlfS0V3bXhUaGs3WWxsOEtXUVI0S0ZwUE0&amp;usp=sharing","ดาวน์โหลดเอกสารประกอบ")</f>
        <v>ดาวน์โหลดเอกสารประกอบ</v>
      </c>
      <c r="V25" s="98" t="str">
        <f>HYPERLINK("https://drive.google.com/folderview?id=0B4mky1MMW8dYfkdYUnFibXl6alp2Q0JBTHBZU0s3S2ZyN21IRjNWUUZxZEJzOTdFY21Qa2c&amp;usp=sharing","ดาวน์โหลดเอกสารประกอบ")</f>
        <v>ดาวน์โหลดเอกสารประกอบ</v>
      </c>
      <c r="W25" s="129" t="s">
        <v>195</v>
      </c>
      <c r="X25" s="129" t="s">
        <v>195</v>
      </c>
      <c r="Y25" s="129" t="s">
        <v>195</v>
      </c>
      <c r="Z25" s="129" t="s">
        <v>195</v>
      </c>
      <c r="AA25" s="3"/>
      <c r="AB25" s="3"/>
    </row>
    <row r="26">
      <c r="A26" s="27"/>
      <c r="B26" s="5" t="s">
        <v>3</v>
      </c>
      <c r="C26" s="7" t="s">
        <v>4</v>
      </c>
      <c r="D26" s="119" t="s">
        <v>5</v>
      </c>
      <c r="E26" s="5" t="s">
        <v>6</v>
      </c>
      <c r="F26" s="5" t="s">
        <v>8</v>
      </c>
      <c r="G26" s="5" t="s">
        <v>9</v>
      </c>
      <c r="H26" s="5" t="s">
        <v>10</v>
      </c>
      <c r="I26" s="5" t="s">
        <v>11</v>
      </c>
      <c r="J26" s="5" t="s">
        <v>12</v>
      </c>
      <c r="K26" s="5" t="s">
        <v>13</v>
      </c>
      <c r="L26" s="5" t="s">
        <v>14</v>
      </c>
      <c r="M26" s="5" t="s">
        <v>15</v>
      </c>
      <c r="N26" s="5" t="s">
        <v>16</v>
      </c>
      <c r="O26" s="5" t="s">
        <v>17</v>
      </c>
      <c r="P26" s="5" t="s">
        <v>18</v>
      </c>
      <c r="Q26" s="5" t="s">
        <v>19</v>
      </c>
      <c r="R26" s="5" t="s">
        <v>20</v>
      </c>
      <c r="S26" s="5" t="s">
        <v>21</v>
      </c>
      <c r="T26" s="5" t="s">
        <v>22</v>
      </c>
      <c r="U26" s="5" t="s">
        <v>23</v>
      </c>
      <c r="V26" s="5" t="s">
        <v>24</v>
      </c>
      <c r="W26" s="16" t="s">
        <v>25</v>
      </c>
      <c r="X26" s="16" t="s">
        <v>26</v>
      </c>
      <c r="Y26" s="3"/>
      <c r="Z26" s="3"/>
      <c r="AA26" s="3"/>
      <c r="AB26" s="3"/>
    </row>
    <row r="27">
      <c r="A27" s="27"/>
      <c r="B27" s="321" t="s">
        <v>159</v>
      </c>
      <c r="C27" s="21" t="s">
        <v>2064</v>
      </c>
      <c r="D27" s="140"/>
      <c r="E27" s="19"/>
      <c r="F27" s="19" t="s">
        <v>2064</v>
      </c>
      <c r="G27" s="19" t="s">
        <v>2066</v>
      </c>
      <c r="H27" s="19" t="s">
        <v>2066</v>
      </c>
      <c r="I27" s="19" t="s">
        <v>2066</v>
      </c>
      <c r="J27" s="19" t="s">
        <v>2376</v>
      </c>
      <c r="K27" s="19" t="s">
        <v>2376</v>
      </c>
      <c r="L27" s="19" t="s">
        <v>2067</v>
      </c>
      <c r="M27" s="19" t="s">
        <v>2067</v>
      </c>
      <c r="N27" s="19" t="s">
        <v>2068</v>
      </c>
      <c r="O27" s="19" t="s">
        <v>2068</v>
      </c>
      <c r="P27" s="19" t="s">
        <v>2068</v>
      </c>
      <c r="Q27" s="19" t="s">
        <v>2070</v>
      </c>
      <c r="R27" s="19" t="s">
        <v>2070</v>
      </c>
      <c r="S27" s="19" t="s">
        <v>2070</v>
      </c>
      <c r="T27" s="19"/>
      <c r="U27" s="322" t="s">
        <v>2067</v>
      </c>
      <c r="V27" s="141" t="s">
        <v>2069</v>
      </c>
      <c r="W27" s="322" t="s">
        <v>2067</v>
      </c>
      <c r="X27" s="141" t="s">
        <v>2072</v>
      </c>
      <c r="Y27" s="3"/>
      <c r="Z27" s="3"/>
      <c r="AA27" s="3"/>
      <c r="AB27" s="3"/>
    </row>
    <row r="28" ht="60.0" customHeight="1">
      <c r="A28" s="27"/>
      <c r="B28" s="192"/>
      <c r="C28" s="34" t="str">
        <f>HYPERLINK("https://www.youtube.com/watch?v=3IGGjh0dNCs","พระอุรุเวลกัสสปะ")</f>
        <v>พระอุรุเวลกัสสปะ</v>
      </c>
      <c r="D28" s="48" t="s">
        <v>2377</v>
      </c>
      <c r="E28" s="34" t="str">
        <f>HYPERLINK("https://www.youtube.com/watch?v=FaB_UWD8Pv8","สมเด็จพระมหิตลาธิเมศร อดุลยเดชวิกรม พระบรมราชนก, สมเด็จพระศรีนครินทรา บรมราชชนนี")</f>
        <v>สมเด็จพระมหิตลาธิเมศร อดุลยเดชวิกรม พระบรมราชนก, สมเด็จพระศรีนครินทรา บรมราชชนนี</v>
      </c>
      <c r="F28" s="34" t="str">
        <f>HYPERLINK("https://www.youtube.com/watch?v=WLvNatyAUKQ","หลักธรรมเพื่อการอยู่ร่วมกันอย่างสมานฉันท์")</f>
        <v>หลักธรรมเพื่อการอยู่ร่วมกันอย่างสมานฉันท์</v>
      </c>
      <c r="G28" s="46" t="s">
        <v>2385</v>
      </c>
      <c r="H28" s="46" t="s">
        <v>2387</v>
      </c>
      <c r="I28" s="46" t="s">
        <v>2389</v>
      </c>
      <c r="J28" s="46" t="s">
        <v>2392</v>
      </c>
      <c r="K28" s="55" t="s">
        <v>2393</v>
      </c>
      <c r="L28" s="55" t="s">
        <v>2394</v>
      </c>
      <c r="M28" s="55" t="s">
        <v>2395</v>
      </c>
      <c r="N28" s="55" t="s">
        <v>2396</v>
      </c>
      <c r="O28" s="55" t="s">
        <v>2397</v>
      </c>
      <c r="P28" s="55" t="s">
        <v>2399</v>
      </c>
      <c r="Q28" s="46" t="s">
        <v>2400</v>
      </c>
      <c r="R28" s="55" t="s">
        <v>2401</v>
      </c>
      <c r="S28" s="55" t="s">
        <v>2403</v>
      </c>
      <c r="T28" s="55" t="s">
        <v>2405</v>
      </c>
      <c r="U28" s="55" t="s">
        <v>2406</v>
      </c>
      <c r="V28" s="55" t="s">
        <v>2407</v>
      </c>
      <c r="W28" s="55" t="s">
        <v>2409</v>
      </c>
      <c r="X28" s="55" t="s">
        <v>2410</v>
      </c>
      <c r="Y28" s="3"/>
      <c r="Z28" s="3"/>
      <c r="AA28" s="3"/>
      <c r="AB28" s="3"/>
    </row>
    <row r="29">
      <c r="A29" s="27"/>
      <c r="B29" s="192"/>
      <c r="C29" s="10" t="s">
        <v>2273</v>
      </c>
      <c r="D29" s="60" t="s">
        <v>2273</v>
      </c>
      <c r="E29" s="10" t="s">
        <v>2096</v>
      </c>
      <c r="F29" s="10" t="s">
        <v>2412</v>
      </c>
      <c r="G29" s="75" t="s">
        <v>2414</v>
      </c>
      <c r="H29" s="75" t="s">
        <v>2414</v>
      </c>
      <c r="I29" s="10" t="s">
        <v>2096</v>
      </c>
      <c r="J29" s="10" t="s">
        <v>2412</v>
      </c>
      <c r="K29" s="75" t="s">
        <v>2415</v>
      </c>
      <c r="L29" s="75" t="s">
        <v>2415</v>
      </c>
      <c r="M29" s="75" t="s">
        <v>2415</v>
      </c>
      <c r="N29" s="75" t="s">
        <v>2417</v>
      </c>
      <c r="O29" s="75" t="s">
        <v>2417</v>
      </c>
      <c r="P29" s="75" t="s">
        <v>2417</v>
      </c>
      <c r="Q29" s="75" t="s">
        <v>2418</v>
      </c>
      <c r="R29" s="75" t="s">
        <v>2418</v>
      </c>
      <c r="S29" s="75" t="s">
        <v>2418</v>
      </c>
      <c r="T29" s="75" t="s">
        <v>2419</v>
      </c>
      <c r="U29" s="75" t="s">
        <v>2420</v>
      </c>
      <c r="V29" s="75" t="s">
        <v>2420</v>
      </c>
      <c r="W29" s="75" t="s">
        <v>2420</v>
      </c>
      <c r="X29" s="75" t="s">
        <v>2420</v>
      </c>
      <c r="Y29" s="3"/>
      <c r="Z29" s="3"/>
      <c r="AA29" s="3"/>
      <c r="AB29" s="3"/>
    </row>
    <row r="30">
      <c r="A30" s="27"/>
      <c r="B30" s="192"/>
      <c r="C30" s="10" t="s">
        <v>2100</v>
      </c>
      <c r="D30" s="60" t="s">
        <v>2100</v>
      </c>
      <c r="E30" s="10" t="s">
        <v>2100</v>
      </c>
      <c r="F30" s="10" t="s">
        <v>2100</v>
      </c>
      <c r="G30" s="10" t="s">
        <v>2100</v>
      </c>
      <c r="H30" s="10" t="s">
        <v>2100</v>
      </c>
      <c r="I30" s="10" t="s">
        <v>2100</v>
      </c>
      <c r="J30" s="10" t="s">
        <v>2100</v>
      </c>
      <c r="K30" s="75" t="s">
        <v>2422</v>
      </c>
      <c r="L30" s="75" t="s">
        <v>2422</v>
      </c>
      <c r="M30" s="75" t="s">
        <v>2422</v>
      </c>
      <c r="N30" s="202" t="s">
        <v>2423</v>
      </c>
      <c r="O30" s="202" t="s">
        <v>2423</v>
      </c>
      <c r="P30" s="202" t="s">
        <v>2423</v>
      </c>
      <c r="Q30" s="75" t="s">
        <v>1295</v>
      </c>
      <c r="R30" s="75" t="s">
        <v>1295</v>
      </c>
      <c r="S30" s="75" t="s">
        <v>1295</v>
      </c>
      <c r="T30" s="10" t="s">
        <v>2100</v>
      </c>
      <c r="U30" s="75" t="s">
        <v>2425</v>
      </c>
      <c r="V30" s="75" t="s">
        <v>2425</v>
      </c>
      <c r="W30" s="75" t="s">
        <v>2425</v>
      </c>
      <c r="X30" s="75" t="s">
        <v>2425</v>
      </c>
      <c r="Y30" s="3"/>
      <c r="Z30" s="3"/>
      <c r="AA30" s="3"/>
      <c r="AB30" s="3"/>
    </row>
    <row r="31">
      <c r="A31" s="27"/>
      <c r="B31" s="192"/>
      <c r="C31" s="10" t="s">
        <v>625</v>
      </c>
      <c r="D31" s="60" t="s">
        <v>625</v>
      </c>
      <c r="E31" s="10" t="s">
        <v>625</v>
      </c>
      <c r="F31" s="10" t="s">
        <v>625</v>
      </c>
      <c r="G31" s="10" t="s">
        <v>625</v>
      </c>
      <c r="H31" s="10" t="s">
        <v>625</v>
      </c>
      <c r="I31" s="10" t="s">
        <v>625</v>
      </c>
      <c r="J31" s="10" t="s">
        <v>625</v>
      </c>
      <c r="K31" s="75" t="s">
        <v>1014</v>
      </c>
      <c r="L31" s="75" t="s">
        <v>1014</v>
      </c>
      <c r="M31" s="75" t="s">
        <v>1014</v>
      </c>
      <c r="N31" s="202" t="s">
        <v>2427</v>
      </c>
      <c r="O31" s="202" t="s">
        <v>2427</v>
      </c>
      <c r="P31" s="202" t="s">
        <v>2427</v>
      </c>
      <c r="Q31" s="75" t="s">
        <v>477</v>
      </c>
      <c r="R31" s="75" t="s">
        <v>477</v>
      </c>
      <c r="S31" s="75" t="s">
        <v>477</v>
      </c>
      <c r="T31" s="10" t="s">
        <v>625</v>
      </c>
      <c r="U31" s="75" t="s">
        <v>105</v>
      </c>
      <c r="V31" s="75" t="s">
        <v>105</v>
      </c>
      <c r="W31" s="75" t="s">
        <v>105</v>
      </c>
      <c r="X31" s="75" t="s">
        <v>105</v>
      </c>
      <c r="Y31" s="3"/>
      <c r="Z31" s="3"/>
      <c r="AA31" s="3"/>
      <c r="AB31" s="3"/>
    </row>
    <row r="32">
      <c r="A32" s="27"/>
      <c r="B32" s="192"/>
      <c r="C32" s="316" t="str">
        <f>HYPERLINK("https://www.youtube.com/watch?v=3IGGjh0dNCs","https://www.youtube.com/watch?v=3IGGjh0dNCs")</f>
        <v>https://www.youtube.com/watch?v=3IGGjh0dNCs</v>
      </c>
      <c r="D32" s="85" t="s">
        <v>2433</v>
      </c>
      <c r="E32" s="323" t="str">
        <f>HYPERLINK("https://www.youtube.com/watch?v=FaB_UWD8Pv8","https://www.youtube.com/watch?v=FaB_UWD8Pv8")</f>
        <v>https://www.youtube.com/watch?v=FaB_UWD8Pv8</v>
      </c>
      <c r="F32" s="307" t="str">
        <f>HYPERLINK("https://www.youtube.com/watch?v=WLvNatyAUKQ","https://www.youtube.com/watch?v=WLvNatyAUKQ")</f>
        <v>https://www.youtube.com/watch?v=WLvNatyAUKQ</v>
      </c>
      <c r="G32" s="97" t="s">
        <v>2441</v>
      </c>
      <c r="H32" s="91" t="s">
        <v>2442</v>
      </c>
      <c r="I32" s="91" t="s">
        <v>2443</v>
      </c>
      <c r="J32" s="91" t="s">
        <v>2444</v>
      </c>
      <c r="K32" s="91" t="s">
        <v>2445</v>
      </c>
      <c r="L32" s="91" t="s">
        <v>2446</v>
      </c>
      <c r="M32" s="91" t="s">
        <v>2447</v>
      </c>
      <c r="N32" s="91" t="s">
        <v>2448</v>
      </c>
      <c r="O32" s="91" t="s">
        <v>2449</v>
      </c>
      <c r="P32" s="91" t="s">
        <v>2450</v>
      </c>
      <c r="Q32" s="91" t="s">
        <v>2451</v>
      </c>
      <c r="R32" s="91" t="s">
        <v>2452</v>
      </c>
      <c r="S32" s="91" t="s">
        <v>2453</v>
      </c>
      <c r="T32" s="91" t="s">
        <v>2454</v>
      </c>
      <c r="U32" s="91" t="s">
        <v>2455</v>
      </c>
      <c r="V32" s="91" t="s">
        <v>2456</v>
      </c>
      <c r="W32" s="91" t="s">
        <v>2457</v>
      </c>
      <c r="X32" s="91" t="s">
        <v>2458</v>
      </c>
      <c r="Y32" s="3"/>
      <c r="Z32" s="3"/>
      <c r="AA32" s="3"/>
      <c r="AB32" s="3"/>
    </row>
    <row r="33">
      <c r="A33" s="27"/>
      <c r="B33" s="196"/>
      <c r="C33" s="152" t="s">
        <v>195</v>
      </c>
      <c r="D33" s="152" t="s">
        <v>31</v>
      </c>
      <c r="E33" s="152" t="s">
        <v>195</v>
      </c>
      <c r="F33" s="152" t="s">
        <v>195</v>
      </c>
      <c r="G33" s="98" t="str">
        <f>HYPERLINK("https://drive.google.com/folderview?id=0B0x_dulH5-nEfmZqSk9DTElfTWR5amZuMmxsMkdQTmtfc004UmxUSkR2blN5LW1aWk0zMlk&amp;usp=sharing","ดาวน์โหลดเอกสารประกอบ")</f>
        <v>ดาวน์โหลดเอกสารประกอบ</v>
      </c>
      <c r="H33" s="98" t="str">
        <f>HYPERLINK("https://drive.google.com/folderview?id=0B0x_dulH5-nEfi04RFFpRUl3blZmRWEwaWs5UmdOREV5QkxWS3VEdXNydmFock45eDZrQU0&amp;usp=sharing","ดาวน์โหลดเอกสารประกอบ")</f>
        <v>ดาวน์โหลดเอกสารประกอบ</v>
      </c>
      <c r="I33" s="152" t="s">
        <v>31</v>
      </c>
      <c r="J33" s="152" t="s">
        <v>31</v>
      </c>
      <c r="K33" s="98" t="str">
        <f>HYPERLINK("https://drive.google.com/folderview?id=0B0x_dulH5-nELVNDbUxxYlZOajQ&amp;usp=sharing","ดาวน์โหลดเอกสารประกอบ")</f>
        <v>ดาวน์โหลดเอกสารประกอบ</v>
      </c>
      <c r="L33" s="98" t="str">
        <f>HYPERLINK("https://drive.google.com/folderview?id=0B0x_dulH5-nEUEF3VmdpaVNxVVE&amp;usp=sharing","ดาวน์โหลดเอกสารประกอบ")</f>
        <v>ดาวน์โหลดเอกสารประกอบ</v>
      </c>
      <c r="M33" s="98" t="str">
        <f>HYPERLINK("https://drive.google.com/folderview?id=0B0x_dulH5-nEWU00cS1lSG1kcVE&amp;usp=sharing","ดาวน์โหลดเอกสารประกอบ")</f>
        <v>ดาวน์โหลดเอกสารประกอบ</v>
      </c>
      <c r="N33" s="98" t="str">
        <f>HYPERLINK("https://drive.google.com/folderview?id=0B0x_dulH5-nEcnB0VFFadEE3MnM&amp;usp=sharing","ดาวน์โหลดเอกสารประกอบ")</f>
        <v>ดาวน์โหลดเอกสารประกอบ</v>
      </c>
      <c r="O33" s="98" t="str">
        <f>HYPERLINK("https://drive.google.com/folderview?id=0B0x_dulH5-nESzhIYTEyZ293UU0&amp;usp=sharing","ดาวน์โหลดเอกสารประกอบ")</f>
        <v>ดาวน์โหลดเอกสารประกอบ</v>
      </c>
      <c r="P33" s="152" t="s">
        <v>31</v>
      </c>
      <c r="Q33" s="98" t="str">
        <f>HYPERLINK("https://drive.google.com/folderview?id=0B4mky1MMW8dYfmhlaWVyOWtILWdudm41VXRacnJSTWt2ZWlPQzhFU2hFbTVQN1l3LVo4M2s&amp;usp=sharing","ดาวน์โหลดเอกสารประกอบ")</f>
        <v>ดาวน์โหลดเอกสารประกอบ</v>
      </c>
      <c r="R33" s="98" t="str">
        <f>HYPERLINK("https://drive.google.com/folderview?id=0B4mky1MMW8dYfkhGT1R6ZDBmM2VQekZJNk1rT0F4R28xRnc5T1RrUTNDV1hDYWVvSUgyTms&amp;usp=sharing","ดาวน์โหลดเอกสารประกอบ")</f>
        <v>ดาวน์โหลดเอกสารประกอบ</v>
      </c>
      <c r="S33" s="98" t="str">
        <f>HYPERLINK("https://drive.google.com/folderview?id=0B4mky1MMW8dYfmhlaWVyOWtILWdudm41VXRacnJSTWt2ZWlPQzhFU2hFbTVQN1l3LVo4M2s&amp;usp=sharing","ดาวน์โหลดเอกสารประกอบ")</f>
        <v>ดาวน์โหลดเอกสารประกอบ</v>
      </c>
      <c r="T33" s="98" t="str">
        <f>HYPERLINK("https://drive.google.com/folderview?id=0B4mky1MMW8dYfkhGT1R6ZDBmM2VQekZJNk1rT0F4R28xRnc5T1RrUTNDV1hDYWVvSUgyTms&amp;usp=sharing","ดาวน์โหลดเอกสารประกอบ")</f>
        <v>ดาวน์โหลดเอกสารประกอบ</v>
      </c>
      <c r="U33" s="98" t="str">
        <f>HYPERLINK("https://drive.google.com/folderview?id=0B4mky1MMW8dYflJ0S2dSa1hsVGdhOXRYWFRxQUFkOVpKNmowWE5vMm04SUJ3VjlwSWRaRUU&amp;usp=sharing","ดาวน์โหลดเอกสารประกอบ")</f>
        <v>ดาวน์โหลดเอกสารประกอบ</v>
      </c>
      <c r="V33" s="98" t="str">
        <f>HYPERLINK("https://drive.google.com/folderview?id=0B0x_dulH5-nEfkR3SGhCTkZPZnc0V0tLTWRnRGRmT01OQUJMQS1UdGloOWpsSGMyY0c3R1E&amp;usp=sharing","ดาวน์โหลดเอกสารประกอบ")</f>
        <v>ดาวน์โหลดเอกสารประกอบ</v>
      </c>
      <c r="W33" s="152" t="s">
        <v>31</v>
      </c>
      <c r="X33" s="152" t="s">
        <v>31</v>
      </c>
      <c r="Y33" s="3"/>
      <c r="Z33" s="3"/>
      <c r="AA33" s="3"/>
      <c r="AB33" s="3"/>
    </row>
    <row r="34">
      <c r="A34" s="27"/>
      <c r="B34" s="5" t="s">
        <v>3</v>
      </c>
      <c r="C34" s="117" t="s">
        <v>4</v>
      </c>
      <c r="D34" s="12" t="s">
        <v>5</v>
      </c>
      <c r="E34" s="5" t="s">
        <v>6</v>
      </c>
      <c r="F34" s="5" t="s">
        <v>8</v>
      </c>
      <c r="G34" s="5" t="s">
        <v>9</v>
      </c>
      <c r="H34" s="5" t="s">
        <v>10</v>
      </c>
      <c r="I34" s="5" t="s">
        <v>11</v>
      </c>
      <c r="J34" s="5" t="s">
        <v>12</v>
      </c>
      <c r="K34" s="5" t="s">
        <v>13</v>
      </c>
      <c r="L34" s="5" t="s">
        <v>14</v>
      </c>
      <c r="M34" s="5" t="s">
        <v>15</v>
      </c>
      <c r="N34" s="5" t="s">
        <v>16</v>
      </c>
      <c r="O34" s="5" t="s">
        <v>17</v>
      </c>
      <c r="P34" s="5" t="s">
        <v>18</v>
      </c>
      <c r="Q34" s="5" t="s">
        <v>19</v>
      </c>
      <c r="R34" s="5" t="s">
        <v>20</v>
      </c>
      <c r="S34" s="5" t="s">
        <v>21</v>
      </c>
      <c r="T34" s="5" t="s">
        <v>22</v>
      </c>
      <c r="U34" s="5" t="s">
        <v>23</v>
      </c>
      <c r="V34" s="5" t="s">
        <v>24</v>
      </c>
      <c r="W34" s="3"/>
      <c r="X34" s="3"/>
      <c r="Y34" s="3"/>
      <c r="Z34" s="3"/>
      <c r="AA34" s="3"/>
      <c r="AB34" s="3"/>
    </row>
    <row r="35">
      <c r="A35" s="27"/>
      <c r="B35" s="13" t="s">
        <v>175</v>
      </c>
      <c r="C35" s="19" t="s">
        <v>2064</v>
      </c>
      <c r="D35" s="19"/>
      <c r="E35" s="19" t="s">
        <v>2065</v>
      </c>
      <c r="F35" s="19"/>
      <c r="G35" s="19" t="s">
        <v>2066</v>
      </c>
      <c r="H35" s="19" t="s">
        <v>2066</v>
      </c>
      <c r="I35" s="19" t="s">
        <v>2066</v>
      </c>
      <c r="J35" s="19" t="s">
        <v>2066</v>
      </c>
      <c r="K35" s="19" t="s">
        <v>2376</v>
      </c>
      <c r="L35" s="2"/>
      <c r="M35" s="19" t="s">
        <v>2376</v>
      </c>
      <c r="N35" s="19" t="s">
        <v>2376</v>
      </c>
      <c r="O35" s="19" t="s">
        <v>2069</v>
      </c>
      <c r="P35" s="19" t="s">
        <v>2069</v>
      </c>
      <c r="Q35" s="19" t="s">
        <v>2069</v>
      </c>
      <c r="R35" s="19" t="s">
        <v>2070</v>
      </c>
      <c r="S35" s="19" t="s">
        <v>2070</v>
      </c>
      <c r="T35" s="19" t="s">
        <v>2070</v>
      </c>
      <c r="U35" s="19" t="s">
        <v>2070</v>
      </c>
      <c r="V35" s="19" t="s">
        <v>2070</v>
      </c>
      <c r="W35" s="3"/>
      <c r="X35" s="3"/>
      <c r="Y35" s="3"/>
      <c r="Z35" s="3"/>
      <c r="AA35" s="3"/>
      <c r="AB35" s="3"/>
    </row>
    <row r="36" ht="60.0" customHeight="1">
      <c r="A36" s="27"/>
      <c r="B36" s="29"/>
      <c r="C36" s="325" t="str">
        <f>HYPERLINK("https://www.youtube.com/watch?v=XaLWrWAmHqw","พุทธประวัติ ตอน 1")</f>
        <v>พุทธประวัติ ตอน 1</v>
      </c>
      <c r="D36" s="55" t="s">
        <v>2498</v>
      </c>
      <c r="E36" s="46" t="s">
        <v>2499</v>
      </c>
      <c r="F36" s="46" t="s">
        <v>2500</v>
      </c>
      <c r="G36" s="46" t="s">
        <v>2501</v>
      </c>
      <c r="H36" s="46" t="s">
        <v>2503</v>
      </c>
      <c r="I36" s="55" t="s">
        <v>2504</v>
      </c>
      <c r="J36" s="55" t="s">
        <v>2505</v>
      </c>
      <c r="K36" s="55" t="s">
        <v>2506</v>
      </c>
      <c r="L36" s="55" t="s">
        <v>2507</v>
      </c>
      <c r="M36" s="55" t="s">
        <v>2508</v>
      </c>
      <c r="N36" s="55" t="s">
        <v>2510</v>
      </c>
      <c r="O36" s="55" t="s">
        <v>2511</v>
      </c>
      <c r="P36" s="55" t="s">
        <v>2513</v>
      </c>
      <c r="Q36" s="55" t="s">
        <v>2514</v>
      </c>
      <c r="R36" s="55" t="s">
        <v>2515</v>
      </c>
      <c r="S36" s="55" t="s">
        <v>2516</v>
      </c>
      <c r="T36" s="55" t="s">
        <v>2517</v>
      </c>
      <c r="U36" s="55" t="s">
        <v>2518</v>
      </c>
      <c r="V36" s="55" t="s">
        <v>2519</v>
      </c>
      <c r="W36" s="3"/>
      <c r="X36" s="3"/>
      <c r="Y36" s="3"/>
      <c r="Z36" s="3"/>
      <c r="AA36" s="3"/>
      <c r="AB36" s="3"/>
    </row>
    <row r="37">
      <c r="A37" s="27"/>
      <c r="B37" s="29"/>
      <c r="C37" s="10" t="s">
        <v>2414</v>
      </c>
      <c r="D37" s="10" t="s">
        <v>2414</v>
      </c>
      <c r="E37" s="75" t="s">
        <v>2522</v>
      </c>
      <c r="F37" s="75" t="s">
        <v>2522</v>
      </c>
      <c r="G37" s="75" t="s">
        <v>2414</v>
      </c>
      <c r="H37" s="4" t="s">
        <v>2414</v>
      </c>
      <c r="I37" s="4" t="s">
        <v>2414</v>
      </c>
      <c r="J37" s="4" t="s">
        <v>2414</v>
      </c>
      <c r="K37" s="4" t="s">
        <v>2414</v>
      </c>
      <c r="L37" s="4" t="s">
        <v>2414</v>
      </c>
      <c r="M37" s="4" t="s">
        <v>2414</v>
      </c>
      <c r="N37" s="4" t="s">
        <v>2414</v>
      </c>
      <c r="O37" s="75" t="s">
        <v>2523</v>
      </c>
      <c r="P37" s="75" t="s">
        <v>2523</v>
      </c>
      <c r="Q37" s="75" t="s">
        <v>2523</v>
      </c>
      <c r="R37" s="75" t="s">
        <v>2523</v>
      </c>
      <c r="S37" s="75" t="s">
        <v>2524</v>
      </c>
      <c r="T37" s="75" t="s">
        <v>2524</v>
      </c>
      <c r="U37" s="75" t="s">
        <v>2524</v>
      </c>
      <c r="V37" s="75" t="s">
        <v>2524</v>
      </c>
      <c r="W37" s="3"/>
      <c r="X37" s="3"/>
      <c r="Y37" s="3"/>
      <c r="Z37" s="3"/>
      <c r="AA37" s="3"/>
      <c r="AB37" s="3"/>
    </row>
    <row r="38">
      <c r="A38" s="27"/>
      <c r="B38" s="29"/>
      <c r="C38" s="10" t="s">
        <v>2100</v>
      </c>
      <c r="D38" s="10" t="s">
        <v>2100</v>
      </c>
      <c r="E38" s="10" t="s">
        <v>2100</v>
      </c>
      <c r="F38" s="10" t="s">
        <v>2100</v>
      </c>
      <c r="G38" s="10" t="s">
        <v>2100</v>
      </c>
      <c r="H38" s="4" t="s">
        <v>2100</v>
      </c>
      <c r="I38" s="4" t="s">
        <v>2100</v>
      </c>
      <c r="J38" s="4" t="s">
        <v>2100</v>
      </c>
      <c r="K38" s="4" t="s">
        <v>2100</v>
      </c>
      <c r="L38" s="4" t="s">
        <v>2100</v>
      </c>
      <c r="M38" s="4" t="s">
        <v>2100</v>
      </c>
      <c r="N38" s="4" t="s">
        <v>2100</v>
      </c>
      <c r="O38" s="75" t="s">
        <v>2425</v>
      </c>
      <c r="P38" s="75" t="s">
        <v>2425</v>
      </c>
      <c r="Q38" s="75" t="s">
        <v>2425</v>
      </c>
      <c r="R38" s="75" t="s">
        <v>2425</v>
      </c>
      <c r="S38" s="75" t="s">
        <v>2525</v>
      </c>
      <c r="T38" s="75" t="s">
        <v>2525</v>
      </c>
      <c r="U38" s="75" t="s">
        <v>2525</v>
      </c>
      <c r="V38" s="75" t="s">
        <v>2525</v>
      </c>
      <c r="W38" s="3"/>
      <c r="X38" s="3"/>
      <c r="Y38" s="3"/>
      <c r="Z38" s="3"/>
      <c r="AA38" s="3"/>
      <c r="AB38" s="3"/>
    </row>
    <row r="39">
      <c r="A39" s="27"/>
      <c r="B39" s="29"/>
      <c r="C39" s="10" t="s">
        <v>625</v>
      </c>
      <c r="D39" s="10" t="s">
        <v>625</v>
      </c>
      <c r="E39" s="10" t="s">
        <v>625</v>
      </c>
      <c r="F39" s="10" t="s">
        <v>625</v>
      </c>
      <c r="G39" s="10" t="s">
        <v>625</v>
      </c>
      <c r="H39" s="4" t="s">
        <v>625</v>
      </c>
      <c r="I39" s="4" t="s">
        <v>625</v>
      </c>
      <c r="J39" s="4" t="s">
        <v>625</v>
      </c>
      <c r="K39" s="4" t="s">
        <v>625</v>
      </c>
      <c r="L39" s="4" t="s">
        <v>625</v>
      </c>
      <c r="M39" s="4" t="s">
        <v>625</v>
      </c>
      <c r="N39" s="4" t="s">
        <v>625</v>
      </c>
      <c r="O39" s="75" t="s">
        <v>1347</v>
      </c>
      <c r="P39" s="75" t="s">
        <v>1347</v>
      </c>
      <c r="Q39" s="75" t="s">
        <v>1347</v>
      </c>
      <c r="R39" s="75" t="s">
        <v>1347</v>
      </c>
      <c r="S39" s="75" t="s">
        <v>105</v>
      </c>
      <c r="T39" s="75" t="s">
        <v>105</v>
      </c>
      <c r="U39" s="75" t="s">
        <v>105</v>
      </c>
      <c r="V39" s="75" t="s">
        <v>105</v>
      </c>
      <c r="W39" s="3"/>
      <c r="X39" s="3"/>
      <c r="Y39" s="3"/>
      <c r="Z39" s="3"/>
      <c r="AA39" s="3"/>
      <c r="AB39" s="3"/>
    </row>
    <row r="40">
      <c r="A40" s="27"/>
      <c r="B40" s="29"/>
      <c r="C40" s="98" t="str">
        <f>HYPERLINK("https://www.youtube.com/watch?v=XaLWrWAmHqw","https://www.youtube.com/watch?v=XaLWrWAmHqw")</f>
        <v>https://www.youtube.com/watch?v=XaLWrWAmHqw</v>
      </c>
      <c r="D40" s="260" t="s">
        <v>2526</v>
      </c>
      <c r="E40" s="91" t="s">
        <v>2527</v>
      </c>
      <c r="F40" s="91" t="s">
        <v>2528</v>
      </c>
      <c r="G40" s="91" t="s">
        <v>2529</v>
      </c>
      <c r="H40" s="91" t="s">
        <v>2530</v>
      </c>
      <c r="I40" s="91" t="s">
        <v>2531</v>
      </c>
      <c r="J40" s="91" t="s">
        <v>2532</v>
      </c>
      <c r="K40" s="91" t="s">
        <v>2533</v>
      </c>
      <c r="L40" s="245" t="s">
        <v>2534</v>
      </c>
      <c r="M40" s="91" t="s">
        <v>2535</v>
      </c>
      <c r="N40" s="91" t="s">
        <v>2536</v>
      </c>
      <c r="O40" s="91" t="s">
        <v>2537</v>
      </c>
      <c r="P40" s="91" t="s">
        <v>2538</v>
      </c>
      <c r="Q40" s="91" t="s">
        <v>2539</v>
      </c>
      <c r="R40" s="91" t="s">
        <v>2540</v>
      </c>
      <c r="S40" s="91" t="s">
        <v>2541</v>
      </c>
      <c r="T40" s="91" t="s">
        <v>2542</v>
      </c>
      <c r="U40" s="91" t="s">
        <v>2543</v>
      </c>
      <c r="V40" s="91" t="s">
        <v>2544</v>
      </c>
      <c r="W40" s="3"/>
      <c r="X40" s="3"/>
      <c r="Y40" s="3"/>
      <c r="Z40" s="3"/>
      <c r="AA40" s="3"/>
      <c r="AB40" s="3"/>
    </row>
    <row r="41">
      <c r="A41" s="27"/>
      <c r="B41" s="79"/>
      <c r="C41" s="152" t="s">
        <v>31</v>
      </c>
      <c r="D41" s="94" t="s">
        <v>31</v>
      </c>
      <c r="E41" s="152" t="s">
        <v>31</v>
      </c>
      <c r="F41" s="152" t="s">
        <v>31</v>
      </c>
      <c r="G41" s="152" t="s">
        <v>31</v>
      </c>
      <c r="H41" s="152" t="s">
        <v>31</v>
      </c>
      <c r="I41" s="98" t="str">
        <f>HYPERLINK("https://drive.google.com/folderview?id=0B0x_dulH5-nEfkhqLVlVU2I3Mk9WVERockRXdmw1dC1pTFJzRFJsekZCN0tzMWRJd1FQUmM&amp;usp=sharing","ดาวน์โหลดเอกสารประกอบ")</f>
        <v>ดาวน์โหลดเอกสารประกอบ</v>
      </c>
      <c r="J41" s="98" t="str">
        <f>HYPERLINK("https://drive.google.com/folderview?id=0B0x_dulH5-nEfjlkVVNkSTdHN0xWWWM5bjZCWUdHVU1Za2pLQ3c3anNCNXV1NG1qMXhWSVE&amp;usp=sharing","ดาวน์โหลดเอกสารประกอบ")</f>
        <v>ดาวน์โหลดเอกสารประกอบ</v>
      </c>
      <c r="K41" s="98" t="str">
        <f>HYPERLINK("https://drive.google.com/folderview?id=0B0x_dulH5-nEfmV0TVNYaDNpcW1kWHViTHVUbHRwbWdyVXlqckpxRjk0OE9pODVTaW5FTlE&amp;usp=sharing","ดาวน์โหลดเอกสารประกอบ")</f>
        <v>ดาวน์โหลดเอกสารประกอบ</v>
      </c>
      <c r="L41" s="83" t="str">
        <f>HYPERLINK("https://drive.google.com/drive/folders/0B0x_dulH5-nEfmdTaXQ5TUwweTNGWFphakM4NVZKQnNxMS00RUVLNHdhTHJ0eC1jaFZ2aUU","ดาวน์โหลดเอกสารประกอบ")</f>
        <v>ดาวน์โหลดเอกสารประกอบ</v>
      </c>
      <c r="M41" s="98" t="str">
        <f>HYPERLINK("https://drive.google.com/drive/folders/0B0x_dulH5-nEfk94UVlydWpGVExLSGZXejhyUlJaVFR0dUxmM0laLWU1MzktbHFyRFREd2s","ดาวน์โหลดเอกสารประกอบ")</f>
        <v>ดาวน์โหลดเอกสารประกอบ</v>
      </c>
      <c r="N41" s="98" t="str">
        <f>HYPERLINK("https://drive.google.com/drive/folders/0B0x_dulH5-nEfm02ajRKakFPWFBvWm90dl9TVGlfQnNZZkFQLXVZcVlGdjY0TkowelJ0aWM","ดาวน์โหลดเอกสารประกอบ")</f>
        <v>ดาวน์โหลดเอกสารประกอบ</v>
      </c>
      <c r="O41" s="152" t="s">
        <v>195</v>
      </c>
      <c r="P41" s="152" t="s">
        <v>195</v>
      </c>
      <c r="Q41" s="152" t="s">
        <v>195</v>
      </c>
      <c r="R41" s="152" t="s">
        <v>195</v>
      </c>
      <c r="S41" s="152" t="s">
        <v>31</v>
      </c>
      <c r="T41" s="152" t="s">
        <v>31</v>
      </c>
      <c r="U41" s="152" t="s">
        <v>31</v>
      </c>
      <c r="V41" s="152" t="s">
        <v>31</v>
      </c>
      <c r="W41" s="3"/>
      <c r="X41" s="3"/>
      <c r="Y41" s="3"/>
      <c r="Z41" s="3"/>
      <c r="AA41" s="3"/>
      <c r="AB41" s="3"/>
    </row>
    <row r="42">
      <c r="A42" s="27"/>
      <c r="B42" s="5" t="s">
        <v>3</v>
      </c>
      <c r="C42" s="5" t="s">
        <v>4</v>
      </c>
      <c r="D42" s="12" t="s">
        <v>5</v>
      </c>
      <c r="E42" s="5" t="s">
        <v>6</v>
      </c>
      <c r="F42" s="5" t="s">
        <v>8</v>
      </c>
      <c r="G42" s="5" t="s">
        <v>9</v>
      </c>
      <c r="H42" s="5" t="s">
        <v>10</v>
      </c>
      <c r="I42" s="5" t="s">
        <v>11</v>
      </c>
      <c r="J42" s="5" t="s">
        <v>12</v>
      </c>
      <c r="K42" s="5" t="s">
        <v>13</v>
      </c>
      <c r="L42" s="5" t="s">
        <v>14</v>
      </c>
      <c r="M42" s="5" t="s">
        <v>15</v>
      </c>
      <c r="N42" s="5" t="s">
        <v>16</v>
      </c>
      <c r="O42" s="5" t="s">
        <v>17</v>
      </c>
      <c r="P42" s="5" t="s">
        <v>18</v>
      </c>
      <c r="Q42" s="5" t="s">
        <v>19</v>
      </c>
      <c r="R42" s="5" t="s">
        <v>20</v>
      </c>
      <c r="S42" s="5" t="s">
        <v>21</v>
      </c>
      <c r="T42" s="5" t="s">
        <v>22</v>
      </c>
      <c r="U42" s="5" t="s">
        <v>23</v>
      </c>
      <c r="V42" s="5" t="s">
        <v>24</v>
      </c>
      <c r="W42" s="3"/>
      <c r="X42" s="3"/>
      <c r="Y42" s="3"/>
      <c r="Z42" s="3"/>
      <c r="AA42" s="3"/>
      <c r="AB42" s="3"/>
    </row>
    <row r="43">
      <c r="A43" s="27"/>
      <c r="B43" s="13" t="s">
        <v>179</v>
      </c>
      <c r="C43" s="19" t="s">
        <v>2064</v>
      </c>
      <c r="D43" s="19" t="s">
        <v>2064</v>
      </c>
      <c r="E43" s="19" t="s">
        <v>2064</v>
      </c>
      <c r="F43" s="19" t="s">
        <v>2064</v>
      </c>
      <c r="G43" s="19" t="s">
        <v>2064</v>
      </c>
      <c r="H43" s="19" t="s">
        <v>2064</v>
      </c>
      <c r="I43" s="19" t="s">
        <v>2064</v>
      </c>
      <c r="J43" s="19" t="s">
        <v>2064</v>
      </c>
      <c r="K43" s="19" t="s">
        <v>2066</v>
      </c>
      <c r="L43" s="19" t="s">
        <v>2066</v>
      </c>
      <c r="M43" s="19" t="s">
        <v>2066</v>
      </c>
      <c r="N43" s="19" t="s">
        <v>2066</v>
      </c>
      <c r="O43" s="19" t="s">
        <v>2376</v>
      </c>
      <c r="P43" s="19" t="s">
        <v>2376</v>
      </c>
      <c r="Q43" s="19" t="s">
        <v>2576</v>
      </c>
      <c r="R43" s="19" t="s">
        <v>2576</v>
      </c>
      <c r="S43" s="19" t="s">
        <v>2070</v>
      </c>
      <c r="T43" s="19" t="s">
        <v>2070</v>
      </c>
      <c r="U43" s="19" t="s">
        <v>2070</v>
      </c>
      <c r="V43" s="19" t="s">
        <v>2070</v>
      </c>
      <c r="W43" s="3"/>
      <c r="X43" s="3"/>
      <c r="Y43" s="3"/>
      <c r="Z43" s="3"/>
      <c r="AA43" s="3"/>
      <c r="AB43" s="3"/>
    </row>
    <row r="44" ht="60.0" customHeight="1">
      <c r="A44" s="27"/>
      <c r="B44" s="29"/>
      <c r="C44" s="39" t="str">
        <f>HYPERLINK("https://www.youtube.com/watch?v=vL5vygLmOCE","การไม่ทำความชั่ว")</f>
        <v>การไม่ทำความชั่ว</v>
      </c>
      <c r="D44" s="55" t="s">
        <v>2577</v>
      </c>
      <c r="E44" s="46" t="s">
        <v>2578</v>
      </c>
      <c r="F44" s="46" t="s">
        <v>2579</v>
      </c>
      <c r="G44" s="46" t="s">
        <v>2580</v>
      </c>
      <c r="H44" s="46" t="s">
        <v>2581</v>
      </c>
      <c r="I44" s="55" t="s">
        <v>2582</v>
      </c>
      <c r="J44" s="55" t="s">
        <v>2583</v>
      </c>
      <c r="K44" s="55" t="s">
        <v>2584</v>
      </c>
      <c r="L44" s="55" t="s">
        <v>2585</v>
      </c>
      <c r="M44" s="55" t="s">
        <v>2586</v>
      </c>
      <c r="N44" s="55" t="s">
        <v>2587</v>
      </c>
      <c r="O44" s="55" t="s">
        <v>2588</v>
      </c>
      <c r="P44" s="55" t="s">
        <v>2589</v>
      </c>
      <c r="Q44" s="55" t="s">
        <v>2590</v>
      </c>
      <c r="R44" s="55" t="s">
        <v>2591</v>
      </c>
      <c r="S44" s="46" t="s">
        <v>2592</v>
      </c>
      <c r="T44" s="46" t="s">
        <v>2593</v>
      </c>
      <c r="U44" s="46" t="s">
        <v>2594</v>
      </c>
      <c r="V44" s="46" t="s">
        <v>2595</v>
      </c>
      <c r="W44" s="3"/>
      <c r="X44" s="3"/>
      <c r="Y44" s="3"/>
      <c r="Z44" s="3"/>
      <c r="AA44" s="3"/>
      <c r="AB44" s="3"/>
    </row>
    <row r="45">
      <c r="A45" s="27"/>
      <c r="B45" s="29"/>
      <c r="C45" s="10" t="s">
        <v>2596</v>
      </c>
      <c r="D45" s="10" t="s">
        <v>2596</v>
      </c>
      <c r="E45" s="10" t="s">
        <v>2596</v>
      </c>
      <c r="F45" s="10" t="s">
        <v>2596</v>
      </c>
      <c r="G45" s="10" t="s">
        <v>2596</v>
      </c>
      <c r="H45" s="10" t="s">
        <v>2596</v>
      </c>
      <c r="I45" s="75" t="s">
        <v>2174</v>
      </c>
      <c r="J45" s="75" t="s">
        <v>2174</v>
      </c>
      <c r="K45" s="75" t="s">
        <v>2597</v>
      </c>
      <c r="L45" s="75" t="s">
        <v>2597</v>
      </c>
      <c r="M45" s="75" t="s">
        <v>2598</v>
      </c>
      <c r="N45" s="75" t="s">
        <v>2599</v>
      </c>
      <c r="O45" s="75" t="s">
        <v>2597</v>
      </c>
      <c r="P45" s="75" t="s">
        <v>2597</v>
      </c>
      <c r="Q45" s="75" t="s">
        <v>2597</v>
      </c>
      <c r="R45" s="75" t="s">
        <v>2597</v>
      </c>
      <c r="S45" s="75" t="s">
        <v>2600</v>
      </c>
      <c r="T45" s="75" t="s">
        <v>2600</v>
      </c>
      <c r="U45" s="75" t="s">
        <v>2601</v>
      </c>
      <c r="V45" s="75" t="s">
        <v>2601</v>
      </c>
      <c r="W45" s="3"/>
      <c r="X45" s="3"/>
      <c r="Y45" s="3"/>
      <c r="Z45" s="3"/>
      <c r="AA45" s="3"/>
      <c r="AB45" s="3"/>
    </row>
    <row r="46">
      <c r="A46" s="27"/>
      <c r="B46" s="29"/>
      <c r="C46" s="10" t="s">
        <v>2602</v>
      </c>
      <c r="D46" s="10" t="s">
        <v>2602</v>
      </c>
      <c r="E46" s="10" t="s">
        <v>2602</v>
      </c>
      <c r="F46" s="10" t="s">
        <v>2602</v>
      </c>
      <c r="G46" s="10" t="s">
        <v>2602</v>
      </c>
      <c r="H46" s="10" t="s">
        <v>2602</v>
      </c>
      <c r="I46" s="75" t="s">
        <v>1490</v>
      </c>
      <c r="J46" s="75" t="s">
        <v>1490</v>
      </c>
      <c r="K46" s="75" t="s">
        <v>2603</v>
      </c>
      <c r="L46" s="75" t="s">
        <v>2603</v>
      </c>
      <c r="M46" s="75" t="s">
        <v>876</v>
      </c>
      <c r="N46" s="75" t="s">
        <v>876</v>
      </c>
      <c r="O46" s="75" t="s">
        <v>2603</v>
      </c>
      <c r="P46" s="75" t="s">
        <v>2603</v>
      </c>
      <c r="Q46" s="75" t="s">
        <v>2603</v>
      </c>
      <c r="R46" s="75" t="s">
        <v>2603</v>
      </c>
      <c r="S46" s="75" t="s">
        <v>2604</v>
      </c>
      <c r="T46" s="75" t="s">
        <v>2604</v>
      </c>
      <c r="U46" s="75" t="s">
        <v>2605</v>
      </c>
      <c r="V46" s="75" t="s">
        <v>2605</v>
      </c>
      <c r="W46" s="3"/>
      <c r="X46" s="3"/>
      <c r="Y46" s="3"/>
      <c r="Z46" s="3"/>
      <c r="AA46" s="3"/>
      <c r="AB46" s="3"/>
    </row>
    <row r="47">
      <c r="A47" s="27"/>
      <c r="B47" s="29"/>
      <c r="C47" s="10" t="s">
        <v>1031</v>
      </c>
      <c r="D47" s="10" t="s">
        <v>1031</v>
      </c>
      <c r="E47" s="10" t="s">
        <v>1031</v>
      </c>
      <c r="F47" s="10" t="s">
        <v>1031</v>
      </c>
      <c r="G47" s="10" t="s">
        <v>1031</v>
      </c>
      <c r="H47" s="10" t="s">
        <v>1031</v>
      </c>
      <c r="I47" s="75" t="s">
        <v>236</v>
      </c>
      <c r="J47" s="75" t="s">
        <v>236</v>
      </c>
      <c r="K47" s="75" t="s">
        <v>236</v>
      </c>
      <c r="L47" s="75" t="s">
        <v>236</v>
      </c>
      <c r="M47" s="75" t="s">
        <v>233</v>
      </c>
      <c r="N47" s="75" t="s">
        <v>233</v>
      </c>
      <c r="O47" s="75" t="s">
        <v>236</v>
      </c>
      <c r="P47" s="75" t="s">
        <v>236</v>
      </c>
      <c r="Q47" s="75" t="s">
        <v>236</v>
      </c>
      <c r="R47" s="75" t="s">
        <v>236</v>
      </c>
      <c r="S47" s="75" t="s">
        <v>314</v>
      </c>
      <c r="T47" s="75" t="s">
        <v>314</v>
      </c>
      <c r="U47" s="75" t="s">
        <v>107</v>
      </c>
      <c r="V47" s="75" t="s">
        <v>107</v>
      </c>
      <c r="W47" s="3"/>
      <c r="X47" s="3"/>
      <c r="Y47" s="3"/>
      <c r="Z47" s="3"/>
      <c r="AA47" s="3"/>
      <c r="AB47" s="3"/>
    </row>
    <row r="48">
      <c r="A48" s="27"/>
      <c r="B48" s="29"/>
      <c r="C48" s="91" t="s">
        <v>2606</v>
      </c>
      <c r="D48" s="91" t="s">
        <v>2607</v>
      </c>
      <c r="E48" s="91" t="s">
        <v>2608</v>
      </c>
      <c r="F48" s="91" t="s">
        <v>2609</v>
      </c>
      <c r="G48" s="91" t="s">
        <v>2610</v>
      </c>
      <c r="H48" s="91" t="s">
        <v>2611</v>
      </c>
      <c r="I48" s="91" t="s">
        <v>2612</v>
      </c>
      <c r="J48" s="91" t="s">
        <v>2613</v>
      </c>
      <c r="K48" s="91" t="s">
        <v>2614</v>
      </c>
      <c r="L48" s="91" t="s">
        <v>2615</v>
      </c>
      <c r="M48" s="91" t="s">
        <v>2616</v>
      </c>
      <c r="N48" s="91" t="s">
        <v>2617</v>
      </c>
      <c r="O48" s="91" t="s">
        <v>2618</v>
      </c>
      <c r="P48" s="91" t="s">
        <v>2619</v>
      </c>
      <c r="Q48" s="91" t="s">
        <v>2620</v>
      </c>
      <c r="R48" s="91" t="s">
        <v>2621</v>
      </c>
      <c r="S48" s="91" t="s">
        <v>2622</v>
      </c>
      <c r="T48" s="91" t="s">
        <v>2623</v>
      </c>
      <c r="U48" s="91" t="s">
        <v>2624</v>
      </c>
      <c r="V48" s="91" t="s">
        <v>2625</v>
      </c>
      <c r="W48" s="3"/>
      <c r="X48" s="3"/>
      <c r="Y48" s="3"/>
      <c r="Z48" s="3"/>
      <c r="AA48" s="3"/>
      <c r="AB48" s="3"/>
    </row>
    <row r="49">
      <c r="A49" s="27"/>
      <c r="B49" s="79"/>
      <c r="C49" s="98" t="str">
        <f>HYPERLINK("https://drive.google.com/folderview?id=0BxI2QWxfwdKvfmV2c2hkM1R6bWQwYUZzOXpXd2s3LUVaTDhDN3FaWEZkWVRsT0JmV0hxb0k&amp;usp=sharing","ดาวน์โหลดเอกสารประกอบ")</f>
        <v>ดาวน์โหลดเอกสารประกอบ</v>
      </c>
      <c r="D49" s="98" t="str">
        <f>HYPERLINK("https://drive.google.com/folderview?id=0BxI2QWxfwdKvfk1lQ0ZYLS05QVo2RjdWcldLUVBPT1lMOHBIM2V1ZkxYYjhtWkF0U0dRVFk&amp;usp=sharing","ดาวน์โหลดเอกสารประกอบ")</f>
        <v>ดาวน์โหลดเอกสารประกอบ</v>
      </c>
      <c r="E49" s="152" t="s">
        <v>31</v>
      </c>
      <c r="F49" s="152" t="s">
        <v>31</v>
      </c>
      <c r="G49" s="152" t="s">
        <v>31</v>
      </c>
      <c r="H49" s="152" t="s">
        <v>31</v>
      </c>
      <c r="I49" s="98" t="str">
        <f>HYPERLINK("https://drive.google.com/folderview?id=0B4mky1MMW8dYfkRZZnZCZVVMcXp1eFZYYVVDQ0VXV0VNR3hqaFhhS1BFdHBST25BY1dMOE0&amp;usp=sharing","ดาวน์โหลดเอกสารประกอบ")</f>
        <v>ดาวน์โหลดเอกสารประกอบ</v>
      </c>
      <c r="J49" s="98" t="str">
        <f>HYPERLINK("https://drive.google.com/folderview?id=0B4mky1MMW8dYfktZeHJfbHFPVlNpYUMzdUg0clItQTFsSjliLW9IOEF3bHpTMnhiYlZ1ZWM&amp;usp=sharing","ดาวน์โหลดเอกสารประกอบ")</f>
        <v>ดาวน์โหลดเอกสารประกอบ</v>
      </c>
      <c r="K49" s="98" t="str">
        <f>HYPERLINK("https://drive.google.com/folderview?id=0B0x_dulH5-nEfnE0YmRjWlhnLV93cFhPUEFka1diaXFnU0lkd2o1N3d5c2lsR0FNTHJ0SWs&amp;usp=sharing","ดาวน์โหลดเอกสารประกอบ")</f>
        <v>ดาวน์โหลดเอกสารประกอบ</v>
      </c>
      <c r="L49" s="98" t="str">
        <f>HYPERLINK("https://drive.google.com/folderview?id=0B0x_dulH5-nEfnp4ckNLdlYzWkJCNzU5U3RZLUpMWHZOMzdnX1ZkOUJSSXFWY2NpSDZiZnM&amp;usp=sharing","ดาวน์โหลดเอกสารประกอบ")</f>
        <v>ดาวน์โหลดเอกสารประกอบ</v>
      </c>
      <c r="M49" s="98" t="str">
        <f>HYPERLINK("https://drive.google.com/folderview?id=0B0x_dulH5-nEfm91a0t4LTN0Q2hiWGs0aHljS1JFbGh0ZXhaSGVMUHFsQXB0SmFPMGZFMkk&amp;usp=sharing","ดาวน์โหลดเอกสารประกอบ")</f>
        <v>ดาวน์โหลดเอกสารประกอบ</v>
      </c>
      <c r="N49" s="98" t="str">
        <f>HYPERLINK("https://drive.google.com/folderview?id=0B0x_dulH5-nEfkRMcXM0cUxxX0FScFVBdkRYMlg5WmQxanRhcE1INU0wWnJoTy1IZTVvNUk&amp;usp=sharing","ดาวน์โหลดเอกสารประกอบ")</f>
        <v>ดาวน์โหลดเอกสารประกอบ</v>
      </c>
      <c r="O49" s="152" t="s">
        <v>31</v>
      </c>
      <c r="P49" s="98" t="str">
        <f>HYPERLINK("https://drive.google.com/folderview?id=0B0x_dulH5-nEfk9pZWNNV0tqaDVjN0tpVHRHb2taVmpodjBoR1pqX3FES2x3MVJIVjh0Tzg&amp;usp=sharing","ดาวน์โหลดเอกสารประกอบ")</f>
        <v>ดาวน์โหลดเอกสารประกอบ</v>
      </c>
      <c r="Q49" s="98" t="str">
        <f>HYPERLINK("https://drive.google.com/folderview?id=0B0x_dulH5-nEfkpLRkF3c2d5N2ZadUdqMXZlOEU3MUJ6U2ZfTGRVbmwwdkJXNC1qck1MYzQ&amp;usp=sharing","ดาวน์โหลดเอกสารประกอบ")</f>
        <v>ดาวน์โหลดเอกสารประกอบ</v>
      </c>
      <c r="R49" s="98" t="str">
        <f>HYPERLINK("https://drive.google.com/folderview?id=0B0x_dulH5-nEfnVlLWsyS0tCUDJVNUhhUDg0Zms2MEtLbTB0cExlTmpsOXlwcWxEZk9acmM&amp;usp=sharing","ดาวน์โหลดเอกสารประกอบ")</f>
        <v>ดาวน์โหลดเอกสารประกอบ</v>
      </c>
      <c r="S49" s="152" t="s">
        <v>31</v>
      </c>
      <c r="T49" s="152" t="s">
        <v>31</v>
      </c>
      <c r="U49" s="152" t="s">
        <v>31</v>
      </c>
      <c r="V49" s="152" t="s">
        <v>31</v>
      </c>
      <c r="W49" s="3"/>
      <c r="X49" s="3"/>
      <c r="Y49" s="3"/>
      <c r="Z49" s="3"/>
      <c r="AA49" s="3"/>
      <c r="AB49" s="3"/>
    </row>
    <row r="50">
      <c r="A50" s="27"/>
      <c r="B50" s="5" t="s">
        <v>3</v>
      </c>
      <c r="C50" s="5" t="s">
        <v>4</v>
      </c>
      <c r="D50" s="12" t="s">
        <v>5</v>
      </c>
      <c r="E50" s="5" t="s">
        <v>6</v>
      </c>
      <c r="F50" s="5" t="s">
        <v>8</v>
      </c>
      <c r="G50" s="5" t="s">
        <v>9</v>
      </c>
      <c r="H50" s="5" t="s">
        <v>10</v>
      </c>
      <c r="I50" s="5" t="s">
        <v>11</v>
      </c>
      <c r="J50" s="5" t="s">
        <v>12</v>
      </c>
      <c r="K50" s="5" t="s">
        <v>13</v>
      </c>
      <c r="L50" s="5" t="s">
        <v>14</v>
      </c>
      <c r="M50" s="5" t="s">
        <v>15</v>
      </c>
      <c r="N50" s="5" t="s">
        <v>16</v>
      </c>
      <c r="O50" s="5" t="s">
        <v>17</v>
      </c>
      <c r="P50" s="5" t="s">
        <v>18</v>
      </c>
      <c r="Q50" s="5" t="s">
        <v>19</v>
      </c>
      <c r="R50" s="5" t="s">
        <v>20</v>
      </c>
      <c r="S50" s="5" t="s">
        <v>21</v>
      </c>
      <c r="T50" s="5" t="s">
        <v>22</v>
      </c>
      <c r="U50" s="5" t="s">
        <v>23</v>
      </c>
      <c r="V50" s="5"/>
      <c r="W50" s="3"/>
      <c r="X50" s="3"/>
      <c r="Y50" s="3"/>
      <c r="Z50" s="3"/>
      <c r="AA50" s="3"/>
      <c r="AB50" s="3"/>
    </row>
    <row r="51">
      <c r="A51" s="27"/>
      <c r="B51" s="13" t="s">
        <v>184</v>
      </c>
      <c r="C51" s="21" t="s">
        <v>2064</v>
      </c>
      <c r="D51" s="19" t="s">
        <v>2064</v>
      </c>
      <c r="E51" s="19" t="s">
        <v>2064</v>
      </c>
      <c r="F51" s="19" t="s">
        <v>2064</v>
      </c>
      <c r="G51" s="19" t="s">
        <v>2064</v>
      </c>
      <c r="H51" s="19" t="s">
        <v>2376</v>
      </c>
      <c r="I51" s="19" t="s">
        <v>2376</v>
      </c>
      <c r="J51" s="19" t="s">
        <v>2376</v>
      </c>
      <c r="K51" s="19" t="s">
        <v>2068</v>
      </c>
      <c r="L51" s="139"/>
      <c r="M51" s="266" t="s">
        <v>2649</v>
      </c>
      <c r="N51" s="327" t="s">
        <v>2649</v>
      </c>
      <c r="O51" s="266" t="s">
        <v>2649</v>
      </c>
      <c r="P51" s="266" t="s">
        <v>2649</v>
      </c>
      <c r="Q51" s="266" t="s">
        <v>2649</v>
      </c>
      <c r="R51" s="266" t="s">
        <v>2649</v>
      </c>
      <c r="S51" s="266" t="s">
        <v>2649</v>
      </c>
      <c r="T51" s="19" t="s">
        <v>2650</v>
      </c>
      <c r="U51" s="19" t="s">
        <v>2650</v>
      </c>
      <c r="V51" s="19"/>
      <c r="W51" s="3"/>
      <c r="X51" s="3"/>
      <c r="Y51" s="3"/>
      <c r="Z51" s="3"/>
      <c r="AA51" s="3"/>
      <c r="AB51" s="3"/>
    </row>
    <row r="52" ht="45.0" customHeight="1">
      <c r="A52" s="27"/>
      <c r="B52" s="29"/>
      <c r="C52" s="39" t="str">
        <f>HYPERLINK("https://www.youtube.com/watch?v=GbGYMkNVxBE","การสังคายนาและการเผยแผ่พระพุทธศาสนาเข้าสู่ประเทศไทย ตอน 1")</f>
        <v>การสังคายนาและการเผยแผ่พระพุทธศาสนาเข้าสู่ประเทศไทย ตอน 1</v>
      </c>
      <c r="D52" s="46" t="s">
        <v>2651</v>
      </c>
      <c r="E52" s="255" t="s">
        <v>2652</v>
      </c>
      <c r="F52" s="55" t="s">
        <v>2653</v>
      </c>
      <c r="G52" s="46" t="s">
        <v>2654</v>
      </c>
      <c r="H52" s="46" t="s">
        <v>2655</v>
      </c>
      <c r="I52" s="46" t="s">
        <v>2656</v>
      </c>
      <c r="J52" s="46" t="s">
        <v>2657</v>
      </c>
      <c r="K52" s="55" t="s">
        <v>2658</v>
      </c>
      <c r="L52" s="55" t="s">
        <v>2659</v>
      </c>
      <c r="M52" s="55" t="s">
        <v>2660</v>
      </c>
      <c r="N52" s="55" t="s">
        <v>2661</v>
      </c>
      <c r="O52" s="55" t="s">
        <v>2662</v>
      </c>
      <c r="P52" s="55" t="s">
        <v>2663</v>
      </c>
      <c r="Q52" s="55" t="s">
        <v>2664</v>
      </c>
      <c r="R52" s="55" t="s">
        <v>2665</v>
      </c>
      <c r="S52" s="55" t="s">
        <v>2666</v>
      </c>
      <c r="T52" s="46" t="s">
        <v>2667</v>
      </c>
      <c r="U52" s="46" t="s">
        <v>2668</v>
      </c>
      <c r="V52" s="46"/>
      <c r="W52" s="3"/>
      <c r="X52" s="3"/>
      <c r="Y52" s="3"/>
      <c r="Z52" s="3"/>
      <c r="AA52" s="3"/>
      <c r="AB52" s="3"/>
    </row>
    <row r="53">
      <c r="A53" s="27"/>
      <c r="B53" s="29"/>
      <c r="C53" s="10" t="s">
        <v>2669</v>
      </c>
      <c r="D53" s="10" t="s">
        <v>2669</v>
      </c>
      <c r="E53" s="10" t="s">
        <v>2669</v>
      </c>
      <c r="F53" s="10" t="s">
        <v>2669</v>
      </c>
      <c r="G53" s="75" t="s">
        <v>2670</v>
      </c>
      <c r="H53" s="75" t="s">
        <v>2670</v>
      </c>
      <c r="I53" s="75" t="s">
        <v>2670</v>
      </c>
      <c r="J53" s="75" t="s">
        <v>2670</v>
      </c>
      <c r="K53" s="10" t="s">
        <v>2669</v>
      </c>
      <c r="L53" s="10" t="s">
        <v>2669</v>
      </c>
      <c r="M53" s="75" t="s">
        <v>2671</v>
      </c>
      <c r="N53" s="75" t="s">
        <v>2671</v>
      </c>
      <c r="O53" s="75" t="s">
        <v>2671</v>
      </c>
      <c r="P53" s="75" t="s">
        <v>2672</v>
      </c>
      <c r="Q53" s="75" t="s">
        <v>2671</v>
      </c>
      <c r="R53" s="75" t="s">
        <v>2672</v>
      </c>
      <c r="S53" s="75" t="s">
        <v>2672</v>
      </c>
      <c r="T53" s="75" t="s">
        <v>2673</v>
      </c>
      <c r="U53" s="75" t="s">
        <v>2673</v>
      </c>
      <c r="V53" s="75"/>
      <c r="W53" s="3"/>
      <c r="X53" s="3"/>
      <c r="Y53" s="3"/>
      <c r="Z53" s="3"/>
      <c r="AA53" s="3"/>
      <c r="AB53" s="3"/>
    </row>
    <row r="54">
      <c r="A54" s="27"/>
      <c r="B54" s="29"/>
      <c r="C54" s="10" t="s">
        <v>2674</v>
      </c>
      <c r="D54" s="10" t="s">
        <v>2674</v>
      </c>
      <c r="E54" s="10" t="s">
        <v>2674</v>
      </c>
      <c r="F54" s="10" t="s">
        <v>2674</v>
      </c>
      <c r="G54" s="75" t="s">
        <v>1398</v>
      </c>
      <c r="H54" s="75" t="s">
        <v>1398</v>
      </c>
      <c r="I54" s="75" t="s">
        <v>1398</v>
      </c>
      <c r="J54" s="75" t="s">
        <v>1398</v>
      </c>
      <c r="K54" s="10" t="s">
        <v>2674</v>
      </c>
      <c r="L54" s="10" t="s">
        <v>2674</v>
      </c>
      <c r="M54" s="75" t="s">
        <v>1344</v>
      </c>
      <c r="N54" s="75" t="s">
        <v>1344</v>
      </c>
      <c r="O54" s="75" t="s">
        <v>1344</v>
      </c>
      <c r="P54" s="75" t="s">
        <v>1344</v>
      </c>
      <c r="Q54" s="75" t="s">
        <v>1344</v>
      </c>
      <c r="R54" s="75" t="s">
        <v>1344</v>
      </c>
      <c r="S54" s="75" t="s">
        <v>1344</v>
      </c>
      <c r="T54" s="75" t="s">
        <v>2681</v>
      </c>
      <c r="U54" s="75" t="s">
        <v>2681</v>
      </c>
      <c r="V54" s="75"/>
      <c r="W54" s="3"/>
      <c r="X54" s="3"/>
      <c r="Y54" s="3"/>
      <c r="Z54" s="3"/>
      <c r="AA54" s="3"/>
      <c r="AB54" s="3"/>
    </row>
    <row r="55">
      <c r="A55" s="27"/>
      <c r="B55" s="29"/>
      <c r="C55" s="10" t="s">
        <v>128</v>
      </c>
      <c r="D55" s="60" t="s">
        <v>128</v>
      </c>
      <c r="E55" s="10" t="s">
        <v>128</v>
      </c>
      <c r="F55" s="10" t="s">
        <v>128</v>
      </c>
      <c r="G55" s="75" t="s">
        <v>1403</v>
      </c>
      <c r="H55" s="75" t="s">
        <v>1403</v>
      </c>
      <c r="I55" s="75" t="s">
        <v>1403</v>
      </c>
      <c r="J55" s="75" t="s">
        <v>1403</v>
      </c>
      <c r="K55" s="10" t="s">
        <v>128</v>
      </c>
      <c r="L55" s="10" t="s">
        <v>128</v>
      </c>
      <c r="M55" s="75" t="s">
        <v>1031</v>
      </c>
      <c r="N55" s="75" t="s">
        <v>1031</v>
      </c>
      <c r="O55" s="75" t="s">
        <v>1031</v>
      </c>
      <c r="P55" s="75" t="s">
        <v>1031</v>
      </c>
      <c r="Q55" s="75" t="s">
        <v>1031</v>
      </c>
      <c r="R55" s="75" t="s">
        <v>1031</v>
      </c>
      <c r="S55" s="75" t="s">
        <v>1031</v>
      </c>
      <c r="T55" s="75" t="s">
        <v>1012</v>
      </c>
      <c r="U55" s="75" t="s">
        <v>1012</v>
      </c>
      <c r="V55" s="75"/>
      <c r="W55" s="3"/>
      <c r="X55" s="3"/>
      <c r="Y55" s="3"/>
      <c r="Z55" s="3"/>
      <c r="AA55" s="3"/>
      <c r="AB55" s="3"/>
    </row>
    <row r="56">
      <c r="A56" s="27"/>
      <c r="B56" s="29"/>
      <c r="C56" s="316" t="str">
        <f>HYPERLINK("https://www.youtube.com/watch?v=GbGYMkNVxBE","https://www.youtube.com/watch?v=GbGYMkNVxBE")</f>
        <v>https://www.youtube.com/watch?v=GbGYMkNVxBE</v>
      </c>
      <c r="D56" s="91" t="s">
        <v>2696</v>
      </c>
      <c r="E56" s="91" t="s">
        <v>2697</v>
      </c>
      <c r="F56" s="91" t="s">
        <v>2698</v>
      </c>
      <c r="G56" s="91" t="s">
        <v>2700</v>
      </c>
      <c r="H56" s="91" t="s">
        <v>2702</v>
      </c>
      <c r="I56" s="91" t="s">
        <v>2704</v>
      </c>
      <c r="J56" s="91" t="s">
        <v>2706</v>
      </c>
      <c r="K56" s="91" t="s">
        <v>2707</v>
      </c>
      <c r="L56" s="91" t="s">
        <v>2709</v>
      </c>
      <c r="M56" s="91" t="s">
        <v>2710</v>
      </c>
      <c r="N56" s="91" t="s">
        <v>2712</v>
      </c>
      <c r="O56" s="318" t="s">
        <v>2713</v>
      </c>
      <c r="P56" s="91" t="s">
        <v>2715</v>
      </c>
      <c r="Q56" s="91" t="s">
        <v>2717</v>
      </c>
      <c r="R56" s="91" t="s">
        <v>2719</v>
      </c>
      <c r="S56" s="91" t="s">
        <v>2721</v>
      </c>
      <c r="T56" s="91" t="s">
        <v>2723</v>
      </c>
      <c r="U56" s="91" t="s">
        <v>2725</v>
      </c>
      <c r="V56" s="211"/>
      <c r="W56" s="3"/>
      <c r="X56" s="3"/>
      <c r="Y56" s="3"/>
      <c r="Z56" s="3"/>
      <c r="AA56" s="3"/>
      <c r="AB56" s="3"/>
    </row>
    <row r="57">
      <c r="A57" s="27"/>
      <c r="B57" s="79"/>
      <c r="C57" s="152" t="s">
        <v>31</v>
      </c>
      <c r="D57" s="152" t="s">
        <v>31</v>
      </c>
      <c r="E57" s="152" t="s">
        <v>31</v>
      </c>
      <c r="F57" s="152" t="s">
        <v>31</v>
      </c>
      <c r="G57" s="152" t="s">
        <v>31</v>
      </c>
      <c r="H57" s="152" t="s">
        <v>31</v>
      </c>
      <c r="I57" s="98" t="str">
        <f>HYPERLINK("https://drive.google.com/folderview?id=0B0x_dulH5-nEfjhBTFJqT1ZWTnl0UFZNTjJ4dUx0RXZ6Q25WbjBZU1g0dk80NElkYndFaFE&amp;usp=sharing","ดาวน์โหลดเอกสารประกอบ")</f>
        <v>ดาวน์โหลดเอกสารประกอบ</v>
      </c>
      <c r="J57" s="98" t="str">
        <f>HYPERLINK("https://drive.google.com/folderview?id=0B0x_dulH5-nEfjk0WWZIZFpHN2hyb3FRdlo0enAzNGNvdHZrb1BHcjZvdmFYMmJUaDZlQ2c&amp;usp=sharing","ดาวน์โหลดเอกสารประกอบ")</f>
        <v>ดาวน์โหลดเอกสารประกอบ</v>
      </c>
      <c r="K57" s="98" t="str">
        <f>HYPERLINK("https://drive.google.com/folderview?id=0B0x_dulH5-nEfnlmb3VKTUNyQklTZGlwbklMSVJnZm8xNFFPMFFrcUwyeXpaejBYV0xUM2s&amp;usp=sharing","ดาวน์โหลดเอกสารประกอบ")</f>
        <v>ดาวน์โหลดเอกสารประกอบ</v>
      </c>
      <c r="L57" s="98" t="str">
        <f>HYPERLINK("https://drive.google.com/folderview?id=0B0x_dulH5-nEfjMtWEJ2UmFRZ0t6MmdJby1TX3VKM2dqcjJOUlRGekVvWGF5ODNIVFVXLXc&amp;usp=sharing","ดาวน์โหลดเอกสารประกอบ")</f>
        <v>ดาวน์โหลดเอกสารประกอบ</v>
      </c>
      <c r="M57" s="98" t="str">
        <f>HYPERLINK("https://drive.google.com/folderview?id=0B0x_dulH5-nEYWZjTk12eC0tSjg&amp;usp=sharing","ดาวน์โหลดเอกสารประกอบ")</f>
        <v>ดาวน์โหลดเอกสารประกอบ</v>
      </c>
      <c r="N57" s="152" t="s">
        <v>31</v>
      </c>
      <c r="O57" s="98" t="str">
        <f>HYPERLINK("https://drive.google.com/folderview?id=0B0x_dulH5-nESU4tMUtDam5HT28&amp;usp=sharing","ดาวน์โหลดเอกสารประกอบ")</f>
        <v>ดาวน์โหลดเอกสารประกอบ</v>
      </c>
      <c r="P57" s="152" t="s">
        <v>31</v>
      </c>
      <c r="Q57" s="98" t="str">
        <f>HYPERLINK("https://drive.google.com/folderview?id=0B0x_dulH5-nEZXpFMUJWSW9Gc1E&amp;usp=sharing","ดาวน์โหลดเอกสารประกอบ")</f>
        <v>ดาวน์โหลดเอกสารประกอบ</v>
      </c>
      <c r="R57" s="152" t="s">
        <v>31</v>
      </c>
      <c r="S57" s="152" t="s">
        <v>31</v>
      </c>
      <c r="T57" s="152" t="s">
        <v>31</v>
      </c>
      <c r="U57" s="152" t="s">
        <v>31</v>
      </c>
      <c r="V57" s="152" t="s">
        <v>195</v>
      </c>
      <c r="W57" s="3"/>
      <c r="X57" s="3"/>
      <c r="Y57" s="3"/>
      <c r="Z57" s="3"/>
      <c r="AA57" s="3"/>
      <c r="AB57" s="3"/>
    </row>
    <row r="58">
      <c r="A58" s="27"/>
      <c r="B58" s="5" t="s">
        <v>3</v>
      </c>
      <c r="C58" s="5" t="s">
        <v>4</v>
      </c>
      <c r="D58" s="12" t="s">
        <v>5</v>
      </c>
      <c r="E58" s="5" t="s">
        <v>6</v>
      </c>
      <c r="F58" s="5" t="s">
        <v>8</v>
      </c>
      <c r="G58" s="5" t="s">
        <v>9</v>
      </c>
      <c r="H58" s="5" t="s">
        <v>10</v>
      </c>
      <c r="I58" s="5" t="s">
        <v>11</v>
      </c>
      <c r="J58" s="5" t="s">
        <v>12</v>
      </c>
      <c r="K58" s="5" t="s">
        <v>13</v>
      </c>
      <c r="L58" s="5" t="s">
        <v>14</v>
      </c>
      <c r="M58" s="5" t="s">
        <v>15</v>
      </c>
      <c r="N58" s="5" t="s">
        <v>16</v>
      </c>
      <c r="O58" s="5" t="s">
        <v>17</v>
      </c>
      <c r="P58" s="5" t="s">
        <v>18</v>
      </c>
      <c r="Q58" s="5" t="s">
        <v>19</v>
      </c>
      <c r="R58" s="5" t="s">
        <v>20</v>
      </c>
      <c r="S58" s="5" t="s">
        <v>21</v>
      </c>
      <c r="T58" s="5" t="s">
        <v>22</v>
      </c>
      <c r="U58" s="5" t="s">
        <v>23</v>
      </c>
      <c r="V58" s="5" t="s">
        <v>24</v>
      </c>
      <c r="W58" s="3"/>
      <c r="X58" s="3"/>
      <c r="Y58" s="3"/>
      <c r="Z58" s="3"/>
      <c r="AA58" s="3"/>
      <c r="AB58" s="3"/>
    </row>
    <row r="59">
      <c r="A59" s="27"/>
      <c r="B59" s="13" t="s">
        <v>196</v>
      </c>
      <c r="C59" s="19" t="s">
        <v>2067</v>
      </c>
      <c r="D59" s="19" t="s">
        <v>2067</v>
      </c>
      <c r="E59" s="19" t="s">
        <v>2067</v>
      </c>
      <c r="F59" s="19" t="s">
        <v>2067</v>
      </c>
      <c r="G59" s="19" t="s">
        <v>2068</v>
      </c>
      <c r="H59" s="19" t="s">
        <v>2068</v>
      </c>
      <c r="I59" s="19" t="s">
        <v>2070</v>
      </c>
      <c r="J59" s="19" t="s">
        <v>2070</v>
      </c>
      <c r="K59" s="19" t="s">
        <v>2070</v>
      </c>
      <c r="L59" s="19" t="s">
        <v>2650</v>
      </c>
      <c r="M59" s="19" t="s">
        <v>2650</v>
      </c>
      <c r="N59" s="19" t="s">
        <v>2650</v>
      </c>
      <c r="O59" s="19" t="s">
        <v>2071</v>
      </c>
      <c r="P59" s="19" t="s">
        <v>2071</v>
      </c>
      <c r="Q59" s="19" t="s">
        <v>2071</v>
      </c>
      <c r="R59" s="19" t="s">
        <v>2071</v>
      </c>
      <c r="S59" s="19" t="s">
        <v>2071</v>
      </c>
      <c r="T59" s="19" t="s">
        <v>2071</v>
      </c>
      <c r="U59" s="19" t="s">
        <v>2071</v>
      </c>
      <c r="V59" s="19" t="s">
        <v>2071</v>
      </c>
      <c r="W59" s="3"/>
      <c r="X59" s="3"/>
      <c r="Y59" s="3"/>
      <c r="Z59" s="3"/>
      <c r="AA59" s="3"/>
      <c r="AB59" s="3"/>
    </row>
    <row r="60" ht="45.0" customHeight="1">
      <c r="A60" s="27"/>
      <c r="B60" s="29"/>
      <c r="C60" s="301" t="s">
        <v>2753</v>
      </c>
      <c r="D60" s="55" t="s">
        <v>2754</v>
      </c>
      <c r="E60" s="55" t="s">
        <v>2756</v>
      </c>
      <c r="F60" s="55" t="s">
        <v>2757</v>
      </c>
      <c r="G60" s="55" t="s">
        <v>2758</v>
      </c>
      <c r="H60" s="55" t="s">
        <v>2759</v>
      </c>
      <c r="I60" s="55" t="s">
        <v>2760</v>
      </c>
      <c r="J60" s="55" t="s">
        <v>2762</v>
      </c>
      <c r="K60" s="55" t="s">
        <v>2763</v>
      </c>
      <c r="L60" s="34" t="str">
        <f>HYPERLINK("https://www.youtube.com/watch?v=9EdSkNe1Ixk","สถาปนาอาณาจักรอยุธยา")</f>
        <v>สถาปนาอาณาจักรอยุธยา</v>
      </c>
      <c r="M60" s="46" t="s">
        <v>2767</v>
      </c>
      <c r="N60" s="46" t="s">
        <v>2768</v>
      </c>
      <c r="O60" s="46" t="s">
        <v>2769</v>
      </c>
      <c r="P60" s="46" t="s">
        <v>2770</v>
      </c>
      <c r="Q60" s="46" t="s">
        <v>2772</v>
      </c>
      <c r="R60" s="46" t="s">
        <v>2773</v>
      </c>
      <c r="S60" s="46" t="s">
        <v>2774</v>
      </c>
      <c r="T60" s="46" t="s">
        <v>2775</v>
      </c>
      <c r="U60" s="46" t="s">
        <v>2776</v>
      </c>
      <c r="V60" s="46" t="s">
        <v>2777</v>
      </c>
      <c r="W60" s="3"/>
      <c r="X60" s="3"/>
      <c r="Y60" s="3"/>
      <c r="Z60" s="3"/>
      <c r="AA60" s="3"/>
      <c r="AB60" s="3"/>
    </row>
    <row r="61">
      <c r="A61" s="27"/>
      <c r="B61" s="29"/>
      <c r="C61" s="328" t="s">
        <v>2779</v>
      </c>
      <c r="D61" s="328" t="s">
        <v>2779</v>
      </c>
      <c r="E61" s="75" t="s">
        <v>2782</v>
      </c>
      <c r="F61" s="75" t="s">
        <v>2782</v>
      </c>
      <c r="G61" s="75" t="s">
        <v>2783</v>
      </c>
      <c r="H61" s="75" t="s">
        <v>2783</v>
      </c>
      <c r="I61" s="75" t="s">
        <v>2784</v>
      </c>
      <c r="J61" s="75" t="s">
        <v>2784</v>
      </c>
      <c r="K61" s="75" t="s">
        <v>2784</v>
      </c>
      <c r="L61" s="10" t="s">
        <v>2785</v>
      </c>
      <c r="M61" s="10" t="s">
        <v>2785</v>
      </c>
      <c r="N61" s="10" t="s">
        <v>2785</v>
      </c>
      <c r="O61" s="10" t="s">
        <v>2786</v>
      </c>
      <c r="P61" s="10" t="s">
        <v>2786</v>
      </c>
      <c r="Q61" s="10" t="s">
        <v>2786</v>
      </c>
      <c r="R61" s="10" t="s">
        <v>2786</v>
      </c>
      <c r="S61" s="10" t="s">
        <v>2786</v>
      </c>
      <c r="T61" s="52" t="s">
        <v>2787</v>
      </c>
      <c r="U61" s="52" t="s">
        <v>2787</v>
      </c>
      <c r="V61" s="10" t="s">
        <v>2785</v>
      </c>
      <c r="W61" s="3"/>
      <c r="X61" s="3"/>
      <c r="Y61" s="3"/>
      <c r="Z61" s="3"/>
      <c r="AA61" s="3"/>
      <c r="AB61" s="3"/>
    </row>
    <row r="62" ht="15.0" customHeight="1">
      <c r="A62" s="27"/>
      <c r="B62" s="29"/>
      <c r="C62" s="75" t="s">
        <v>1736</v>
      </c>
      <c r="D62" s="75" t="s">
        <v>1736</v>
      </c>
      <c r="E62" s="75" t="s">
        <v>1736</v>
      </c>
      <c r="F62" s="75" t="s">
        <v>1736</v>
      </c>
      <c r="G62" s="75" t="s">
        <v>1736</v>
      </c>
      <c r="H62" s="75" t="s">
        <v>1736</v>
      </c>
      <c r="I62" s="75" t="s">
        <v>2788</v>
      </c>
      <c r="J62" s="75" t="s">
        <v>2788</v>
      </c>
      <c r="K62" s="75" t="s">
        <v>2788</v>
      </c>
      <c r="L62" s="10" t="s">
        <v>998</v>
      </c>
      <c r="M62" s="10" t="s">
        <v>998</v>
      </c>
      <c r="N62" s="10" t="s">
        <v>998</v>
      </c>
      <c r="O62" s="10" t="s">
        <v>1009</v>
      </c>
      <c r="P62" s="10" t="s">
        <v>1009</v>
      </c>
      <c r="Q62" s="10" t="s">
        <v>1009</v>
      </c>
      <c r="R62" s="10" t="s">
        <v>1009</v>
      </c>
      <c r="S62" s="10" t="s">
        <v>1009</v>
      </c>
      <c r="T62" s="52" t="s">
        <v>2789</v>
      </c>
      <c r="U62" s="52" t="s">
        <v>2789</v>
      </c>
      <c r="V62" s="10" t="s">
        <v>998</v>
      </c>
      <c r="W62" s="3"/>
      <c r="X62" s="3"/>
      <c r="Y62" s="3"/>
      <c r="Z62" s="3"/>
      <c r="AA62" s="3"/>
      <c r="AB62" s="3"/>
    </row>
    <row r="63">
      <c r="A63" s="27"/>
      <c r="B63" s="29"/>
      <c r="C63" s="75" t="s">
        <v>1254</v>
      </c>
      <c r="D63" s="75" t="s">
        <v>1254</v>
      </c>
      <c r="E63" s="75" t="s">
        <v>1254</v>
      </c>
      <c r="F63" s="75" t="s">
        <v>1254</v>
      </c>
      <c r="G63" s="75" t="s">
        <v>1254</v>
      </c>
      <c r="H63" s="75" t="s">
        <v>1254</v>
      </c>
      <c r="I63" s="10" t="s">
        <v>105</v>
      </c>
      <c r="J63" s="10" t="s">
        <v>105</v>
      </c>
      <c r="K63" s="10" t="s">
        <v>105</v>
      </c>
      <c r="L63" s="10" t="s">
        <v>1014</v>
      </c>
      <c r="M63" s="10" t="s">
        <v>1014</v>
      </c>
      <c r="N63" s="10" t="s">
        <v>1014</v>
      </c>
      <c r="O63" s="10" t="s">
        <v>1106</v>
      </c>
      <c r="P63" s="10" t="s">
        <v>1106</v>
      </c>
      <c r="Q63" s="10" t="s">
        <v>1106</v>
      </c>
      <c r="R63" s="10" t="s">
        <v>1106</v>
      </c>
      <c r="S63" s="10" t="s">
        <v>1106</v>
      </c>
      <c r="T63" s="52" t="s">
        <v>2790</v>
      </c>
      <c r="U63" s="52" t="s">
        <v>2790</v>
      </c>
      <c r="V63" s="10" t="s">
        <v>1014</v>
      </c>
      <c r="W63" s="3"/>
      <c r="X63" s="3"/>
      <c r="Y63" s="3"/>
      <c r="Z63" s="3"/>
      <c r="AA63" s="3"/>
      <c r="AB63" s="3"/>
    </row>
    <row r="64">
      <c r="A64" s="27"/>
      <c r="B64" s="29"/>
      <c r="C64" s="329" t="s">
        <v>2791</v>
      </c>
      <c r="D64" s="85" t="s">
        <v>2792</v>
      </c>
      <c r="E64" s="91" t="s">
        <v>2793</v>
      </c>
      <c r="F64" s="91" t="s">
        <v>2794</v>
      </c>
      <c r="G64" s="91" t="s">
        <v>2795</v>
      </c>
      <c r="H64" s="91" t="s">
        <v>2796</v>
      </c>
      <c r="I64" s="91" t="s">
        <v>2797</v>
      </c>
      <c r="J64" s="91" t="s">
        <v>2798</v>
      </c>
      <c r="K64" s="91" t="s">
        <v>2799</v>
      </c>
      <c r="L64" s="98" t="str">
        <f>HYPERLINK("https://www.youtube.com/watch?v=9EdSkNe1Ixk","https://www.youtube.com/watch?v=9EdSkNe1Ixk")</f>
        <v>https://www.youtube.com/watch?v=9EdSkNe1Ixk</v>
      </c>
      <c r="M64" s="91" t="s">
        <v>2800</v>
      </c>
      <c r="N64" s="91" t="s">
        <v>2801</v>
      </c>
      <c r="O64" s="91" t="s">
        <v>2802</v>
      </c>
      <c r="P64" s="91" t="s">
        <v>2803</v>
      </c>
      <c r="Q64" s="91" t="s">
        <v>2804</v>
      </c>
      <c r="R64" s="91" t="s">
        <v>2805</v>
      </c>
      <c r="S64" s="91" t="s">
        <v>2806</v>
      </c>
      <c r="T64" s="91" t="s">
        <v>2807</v>
      </c>
      <c r="U64" s="91" t="s">
        <v>2808</v>
      </c>
      <c r="V64" s="91" t="s">
        <v>2809</v>
      </c>
      <c r="W64" s="3"/>
      <c r="X64" s="3"/>
      <c r="Y64" s="3"/>
      <c r="Z64" s="3"/>
      <c r="AA64" s="3"/>
      <c r="AB64" s="3"/>
    </row>
    <row r="65">
      <c r="A65" s="27"/>
      <c r="B65" s="79"/>
      <c r="C65" s="152" t="s">
        <v>195</v>
      </c>
      <c r="D65" s="152" t="s">
        <v>195</v>
      </c>
      <c r="E65" s="152" t="s">
        <v>195</v>
      </c>
      <c r="F65" s="152" t="s">
        <v>195</v>
      </c>
      <c r="G65" s="98" t="str">
        <f>HYPERLINK("https://drive.google.com/folderview?id=0B4mky1MMW8dYSUlBTGI2allRMXM&amp;usp=sharing","ดาวน์โหลดเอกสารประกอบ")</f>
        <v>ดาวน์โหลดเอกสารประกอบ</v>
      </c>
      <c r="H65" s="152" t="s">
        <v>31</v>
      </c>
      <c r="I65" s="98" t="str">
        <f>HYPERLINK("https://drive.google.com/folderview?id=0B0x_dulH5-nEfndLYzhyd3h6NXdrWHFUV0w0REZJT2YxMnozR2RZZmU5b2JlYkpMTDRMSXM&amp;usp=sharing","ดาวน์โหลดเอกสารประกอบ")</f>
        <v>ดาวน์โหลดเอกสารประกอบ</v>
      </c>
      <c r="J65" s="98" t="str">
        <f>HYPERLINK("https://drive.google.com/folderview?id=0B0x_dulH5-nEfmljUzkwS2JDNmZ0UUg3OUpEeWRfczBRcDVDQkNHTUhNdUY1eFRwTk9rQVE&amp;usp=sharing","ดาวน์โหลดเอกสารประกอบ")</f>
        <v>ดาวน์โหลดเอกสารประกอบ</v>
      </c>
      <c r="K65" s="98" t="str">
        <f>HYPERLINK("https://drive.google.com/folderview?id=0B0x_dulH5-nEfndLYzhyd3h6NXdrWHFUV0w0REZJT2YxMnozR2RZZmU5b2JlYkpMTDRMSXM&amp;usp=sharing","ดาวน์โหลดเอกสารประกอบ")</f>
        <v>ดาวน์โหลดเอกสารประกอบ</v>
      </c>
      <c r="L65" s="98" t="str">
        <f>HYPERLINK("https://drive.google.com/folderview?id=0B0x_dulH5-nEbk9hZkIyNWRJZnc&amp;usp=sharing","ดาวน์โหลดเอกสารประกอบ")</f>
        <v>ดาวน์โหลดเอกสารประกอบ</v>
      </c>
      <c r="M65" s="98" t="str">
        <f>HYPERLINK("https://drive.google.com/folderview?id=0B0x_dulH5-nEaDZqM1ZZOHM1U0E&amp;usp=sharing","ดาวน์โหลดเอกสารประกอบ")</f>
        <v>ดาวน์โหลดเอกสารประกอบ</v>
      </c>
      <c r="N65" s="98" t="str">
        <f>HYPERLINK("https://drive.google.com/folderview?id=0B0x_dulH5-nEUWxVUE9Zb2FQRU0&amp;usp=sharing","ดาวน์โหลดเอกสารประกอบ")</f>
        <v>ดาวน์โหลดเอกสารประกอบ</v>
      </c>
      <c r="O65" s="152" t="s">
        <v>195</v>
      </c>
      <c r="P65" s="152" t="s">
        <v>195</v>
      </c>
      <c r="Q65" s="152" t="s">
        <v>195</v>
      </c>
      <c r="R65" s="152" t="s">
        <v>195</v>
      </c>
      <c r="S65" s="152" t="s">
        <v>195</v>
      </c>
      <c r="T65" s="98" t="str">
        <f>HYPERLINK("https://drive.google.com/folderview?id=0B0x_dulH5-nEfk5idW9uZ3NJMDdfVllCQV9jNzhfUjFkS0xRWE44a21HQTZIQ3dNeUl4cWc&amp;usp=sharing","ดาวน์โหลดเอกสารประกอบ")</f>
        <v>ดาวน์โหลดเอกสารประกอบ</v>
      </c>
      <c r="U65" s="98" t="str">
        <f>HYPERLINK("https://drive.google.com/folderview?id=0B0x_dulH5-nEfnczd20wRWxDVXRoYlF5bTh5SGhXdWx3ZVVfWFRXVlN3SUE0Z0VWWDJiTUE&amp;usp=sharing","ดาวน์โหลดเอกสารประกอบ")</f>
        <v>ดาวน์โหลดเอกสารประกอบ</v>
      </c>
      <c r="V65" s="98" t="str">
        <f>HYPERLINK("https://drive.google.com/folderview?id=0B0x_dulH5-nEbWU3WWkwTVpteTA&amp;usp=sharing","ดาวน์โหลดเอกสารประกอบ")</f>
        <v>ดาวน์โหลดเอกสารประกอบ</v>
      </c>
      <c r="W65" s="3"/>
      <c r="X65" s="3"/>
      <c r="Y65" s="3"/>
      <c r="Z65" s="3"/>
      <c r="AA65" s="3"/>
      <c r="AB65" s="3"/>
    </row>
    <row r="66">
      <c r="A66" s="27"/>
      <c r="B66" s="5" t="s">
        <v>3</v>
      </c>
      <c r="C66" s="117" t="s">
        <v>4</v>
      </c>
      <c r="D66" s="12" t="s">
        <v>5</v>
      </c>
      <c r="E66" s="5" t="s">
        <v>6</v>
      </c>
      <c r="F66" s="5" t="s">
        <v>8</v>
      </c>
      <c r="G66" s="5" t="s">
        <v>9</v>
      </c>
      <c r="H66" s="5" t="s">
        <v>10</v>
      </c>
      <c r="I66" s="5" t="s">
        <v>11</v>
      </c>
      <c r="J66" s="5" t="s">
        <v>12</v>
      </c>
      <c r="K66" s="5" t="s">
        <v>13</v>
      </c>
      <c r="L66" s="5" t="s">
        <v>14</v>
      </c>
      <c r="M66" s="5" t="s">
        <v>15</v>
      </c>
      <c r="N66" s="5" t="s">
        <v>16</v>
      </c>
      <c r="O66" s="5" t="s">
        <v>17</v>
      </c>
      <c r="P66" s="5" t="s">
        <v>18</v>
      </c>
      <c r="Q66" s="5" t="s">
        <v>19</v>
      </c>
      <c r="R66" s="5" t="s">
        <v>20</v>
      </c>
      <c r="S66" s="5" t="s">
        <v>21</v>
      </c>
      <c r="T66" s="5" t="s">
        <v>22</v>
      </c>
      <c r="U66" s="5" t="s">
        <v>23</v>
      </c>
      <c r="V66" s="330"/>
      <c r="W66" s="3"/>
      <c r="X66" s="3"/>
      <c r="Y66" s="3"/>
      <c r="Z66" s="3"/>
      <c r="AA66" s="3"/>
      <c r="AB66" s="3"/>
    </row>
    <row r="67">
      <c r="A67" s="27"/>
      <c r="B67" s="13" t="s">
        <v>241</v>
      </c>
      <c r="C67" s="19" t="s">
        <v>2838</v>
      </c>
      <c r="D67" s="19" t="s">
        <v>2839</v>
      </c>
      <c r="E67" s="19" t="s">
        <v>2839</v>
      </c>
      <c r="F67" s="19" t="s">
        <v>2839</v>
      </c>
      <c r="G67" s="19" t="s">
        <v>2839</v>
      </c>
      <c r="H67" s="19" t="s">
        <v>2839</v>
      </c>
      <c r="I67" s="19" t="s">
        <v>2840</v>
      </c>
      <c r="J67" s="19" t="s">
        <v>2840</v>
      </c>
      <c r="K67" s="19" t="s">
        <v>2841</v>
      </c>
      <c r="L67" s="19" t="s">
        <v>2842</v>
      </c>
      <c r="M67" s="19" t="s">
        <v>2842</v>
      </c>
      <c r="N67" s="19" t="s">
        <v>2842</v>
      </c>
      <c r="O67" s="19" t="s">
        <v>2842</v>
      </c>
      <c r="P67" s="19" t="s">
        <v>2842</v>
      </c>
      <c r="Q67" s="19" t="s">
        <v>2842</v>
      </c>
      <c r="R67" s="19" t="s">
        <v>2842</v>
      </c>
      <c r="S67" s="19" t="s">
        <v>2842</v>
      </c>
      <c r="T67" s="19" t="s">
        <v>2842</v>
      </c>
      <c r="U67" s="19" t="s">
        <v>2842</v>
      </c>
      <c r="V67" s="331"/>
      <c r="W67" s="3"/>
      <c r="X67" s="3"/>
      <c r="Y67" s="3"/>
      <c r="Z67" s="3"/>
      <c r="AA67" s="3"/>
      <c r="AB67" s="3"/>
    </row>
    <row r="68" ht="60.0" customHeight="1">
      <c r="A68" s="27"/>
      <c r="B68" s="29"/>
      <c r="C68" s="39" t="str">
        <f>HYPERLINK("https://www.youtube.com/watch?v=g3tnOTbplwA","กลไกราคาและการกำหนดราคาในระบบเศรษฐกิจ")</f>
        <v>กลไกราคาและการกำหนดราคาในระบบเศรษฐกิจ</v>
      </c>
      <c r="D68" s="39" t="str">
        <f>HYPERLINK("https://www.youtube.com/watch?v=VIpp3xs837Y","นโยบายทางเศรษฐกิจของรัฐบาล")</f>
        <v>นโยบายทางเศรษฐกิจของรัฐบาล</v>
      </c>
      <c r="E68" s="55" t="s">
        <v>2862</v>
      </c>
      <c r="F68" s="55" t="s">
        <v>2864</v>
      </c>
      <c r="G68" s="55" t="s">
        <v>2865</v>
      </c>
      <c r="H68" s="55" t="s">
        <v>2866</v>
      </c>
      <c r="I68" s="55" t="s">
        <v>2867</v>
      </c>
      <c r="J68" s="55" t="s">
        <v>2868</v>
      </c>
      <c r="K68" s="199" t="s">
        <v>2869</v>
      </c>
      <c r="L68" s="46" t="s">
        <v>2870</v>
      </c>
      <c r="M68" s="46" t="s">
        <v>2871</v>
      </c>
      <c r="N68" s="46" t="s">
        <v>2872</v>
      </c>
      <c r="O68" s="46" t="s">
        <v>2874</v>
      </c>
      <c r="P68" s="55" t="s">
        <v>2875</v>
      </c>
      <c r="Q68" s="55" t="s">
        <v>2876</v>
      </c>
      <c r="R68" s="55" t="s">
        <v>2877</v>
      </c>
      <c r="S68" s="55" t="s">
        <v>2878</v>
      </c>
      <c r="T68" s="46" t="s">
        <v>2879</v>
      </c>
      <c r="U68" s="46" t="s">
        <v>2881</v>
      </c>
      <c r="V68" s="331"/>
      <c r="W68" s="3"/>
      <c r="X68" s="3"/>
      <c r="Y68" s="3"/>
      <c r="Z68" s="3"/>
      <c r="AA68" s="3"/>
      <c r="AB68" s="3"/>
    </row>
    <row r="69">
      <c r="A69" s="27"/>
      <c r="B69" s="29"/>
      <c r="C69" s="10" t="s">
        <v>2882</v>
      </c>
      <c r="D69" s="10" t="s">
        <v>2882</v>
      </c>
      <c r="E69" s="10" t="s">
        <v>2882</v>
      </c>
      <c r="F69" s="10" t="s">
        <v>2882</v>
      </c>
      <c r="G69" s="75" t="s">
        <v>2883</v>
      </c>
      <c r="H69" s="75" t="s">
        <v>2883</v>
      </c>
      <c r="I69" s="75" t="s">
        <v>2883</v>
      </c>
      <c r="J69" s="75" t="s">
        <v>2884</v>
      </c>
      <c r="K69" s="75" t="s">
        <v>2884</v>
      </c>
      <c r="L69" s="10" t="s">
        <v>2885</v>
      </c>
      <c r="M69" s="10" t="s">
        <v>2885</v>
      </c>
      <c r="N69" s="10" t="s">
        <v>2885</v>
      </c>
      <c r="O69" s="10" t="s">
        <v>2885</v>
      </c>
      <c r="P69" s="75" t="s">
        <v>2886</v>
      </c>
      <c r="Q69" s="75" t="s">
        <v>2886</v>
      </c>
      <c r="R69" s="75" t="s">
        <v>2886</v>
      </c>
      <c r="S69" s="75" t="s">
        <v>2886</v>
      </c>
      <c r="T69" s="75" t="s">
        <v>2883</v>
      </c>
      <c r="U69" s="75" t="s">
        <v>2883</v>
      </c>
      <c r="V69" s="332"/>
      <c r="W69" s="3"/>
      <c r="X69" s="3"/>
      <c r="Y69" s="3"/>
      <c r="Z69" s="3"/>
      <c r="AA69" s="3"/>
      <c r="AB69" s="3"/>
    </row>
    <row r="70">
      <c r="A70" s="27"/>
      <c r="B70" s="29"/>
      <c r="C70" s="10" t="s">
        <v>1105</v>
      </c>
      <c r="D70" s="10" t="s">
        <v>1105</v>
      </c>
      <c r="E70" s="10" t="s">
        <v>1105</v>
      </c>
      <c r="F70" s="10" t="s">
        <v>1105</v>
      </c>
      <c r="G70" s="75" t="s">
        <v>1344</v>
      </c>
      <c r="H70" s="75" t="s">
        <v>1344</v>
      </c>
      <c r="I70" s="75" t="s">
        <v>1344</v>
      </c>
      <c r="J70" s="75" t="s">
        <v>1344</v>
      </c>
      <c r="K70" s="75" t="s">
        <v>1344</v>
      </c>
      <c r="L70" s="10" t="s">
        <v>998</v>
      </c>
      <c r="M70" s="10" t="s">
        <v>998</v>
      </c>
      <c r="N70" s="10" t="s">
        <v>998</v>
      </c>
      <c r="O70" s="10" t="s">
        <v>998</v>
      </c>
      <c r="P70" s="75" t="s">
        <v>2888</v>
      </c>
      <c r="Q70" s="75" t="s">
        <v>2888</v>
      </c>
      <c r="R70" s="75" t="s">
        <v>2888</v>
      </c>
      <c r="S70" s="75" t="s">
        <v>2888</v>
      </c>
      <c r="T70" s="75" t="s">
        <v>1344</v>
      </c>
      <c r="U70" s="75" t="s">
        <v>1344</v>
      </c>
      <c r="V70" s="332"/>
      <c r="W70" s="3"/>
      <c r="X70" s="3"/>
      <c r="Y70" s="3"/>
      <c r="Z70" s="3"/>
      <c r="AA70" s="3"/>
      <c r="AB70" s="3"/>
    </row>
    <row r="71">
      <c r="A71" s="27"/>
      <c r="B71" s="29"/>
      <c r="C71" s="10" t="s">
        <v>105</v>
      </c>
      <c r="D71" s="10" t="s">
        <v>105</v>
      </c>
      <c r="E71" s="10" t="s">
        <v>105</v>
      </c>
      <c r="F71" s="10" t="s">
        <v>105</v>
      </c>
      <c r="G71" s="75" t="s">
        <v>1031</v>
      </c>
      <c r="H71" s="75" t="s">
        <v>1031</v>
      </c>
      <c r="I71" s="75" t="s">
        <v>1031</v>
      </c>
      <c r="J71" s="75" t="s">
        <v>1031</v>
      </c>
      <c r="K71" s="75" t="s">
        <v>1031</v>
      </c>
      <c r="L71" s="10" t="s">
        <v>1014</v>
      </c>
      <c r="M71" s="10" t="s">
        <v>1014</v>
      </c>
      <c r="N71" s="10" t="s">
        <v>1014</v>
      </c>
      <c r="O71" s="10" t="s">
        <v>1014</v>
      </c>
      <c r="P71" s="75" t="s">
        <v>105</v>
      </c>
      <c r="Q71" s="75" t="s">
        <v>105</v>
      </c>
      <c r="R71" s="75" t="s">
        <v>105</v>
      </c>
      <c r="S71" s="75" t="s">
        <v>105</v>
      </c>
      <c r="T71" s="75" t="s">
        <v>1031</v>
      </c>
      <c r="U71" s="75" t="s">
        <v>1031</v>
      </c>
      <c r="V71" s="332"/>
      <c r="W71" s="3"/>
      <c r="X71" s="3"/>
      <c r="Y71" s="3"/>
      <c r="Z71" s="3"/>
      <c r="AA71" s="3"/>
      <c r="AB71" s="3"/>
    </row>
    <row r="72">
      <c r="A72" s="27"/>
      <c r="B72" s="29"/>
      <c r="C72" s="91" t="s">
        <v>2892</v>
      </c>
      <c r="D72" s="91" t="s">
        <v>2893</v>
      </c>
      <c r="E72" s="91" t="s">
        <v>2895</v>
      </c>
      <c r="F72" s="91" t="s">
        <v>2897</v>
      </c>
      <c r="G72" s="91" t="s">
        <v>2899</v>
      </c>
      <c r="H72" s="91" t="s">
        <v>2901</v>
      </c>
      <c r="I72" s="91" t="s">
        <v>2904</v>
      </c>
      <c r="J72" s="87" t="s">
        <v>2906</v>
      </c>
      <c r="K72" s="283" t="s">
        <v>2908</v>
      </c>
      <c r="L72" s="85" t="s">
        <v>2910</v>
      </c>
      <c r="M72" s="91" t="s">
        <v>2912</v>
      </c>
      <c r="N72" s="91" t="s">
        <v>2915</v>
      </c>
      <c r="O72" s="250" t="s">
        <v>2916</v>
      </c>
      <c r="P72" s="91" t="s">
        <v>2917</v>
      </c>
      <c r="Q72" s="91" t="s">
        <v>2918</v>
      </c>
      <c r="R72" s="333" t="s">
        <v>2919</v>
      </c>
      <c r="S72" s="91" t="s">
        <v>2920</v>
      </c>
      <c r="T72" s="91" t="s">
        <v>2921</v>
      </c>
      <c r="U72" s="91" t="s">
        <v>2922</v>
      </c>
      <c r="V72" s="334"/>
      <c r="W72" s="3"/>
      <c r="X72" s="3"/>
      <c r="Y72" s="3"/>
      <c r="Z72" s="3"/>
      <c r="AA72" s="3"/>
      <c r="AB72" s="3"/>
    </row>
    <row r="73">
      <c r="A73" s="27"/>
      <c r="B73" s="79"/>
      <c r="C73" s="98" t="str">
        <f>HYPERLINK("https://drive.google.com/folderview?id=0BxI2QWxfwdKvfi1OUlgyeF95QzFZLTdmRUJ3SmhrT0hQNDhSMHhOSnM0dnhUZldxVjI0dmM&amp;usp=sharing","ดาวน์โหลดเอกสารประกอบ")</f>
        <v>ดาวน์โหลดเอกสารประกอบ</v>
      </c>
      <c r="D73" s="98" t="str">
        <f>HYPERLINK("https://drive.google.com/folderview?id=0BxI2QWxfwdKvfnhWYUw3bi1UcGkyX3hsNC1JYXIzQTIzTVVOVTl5djg4ME9iVGFraENIVGc&amp;usp=sharing","ดาวน์โหลดเอกสารประกอบ")</f>
        <v>ดาวน์โหลดเอกสารประกอบ</v>
      </c>
      <c r="E73" s="98" t="str">
        <f>HYPERLINK("https://drive.google.com/folderview?id=0BxI2QWxfwdKvfno5czJnbzA3R2JZdm9zWk95VGxrbXNVcVdpV0pUWVpCZFdYa09Pam43UzQ&amp;usp=sharing","ดาวน์โหลดเอกสารประกอบ")</f>
        <v>ดาวน์โหลดเอกสารประกอบ</v>
      </c>
      <c r="F73" s="152" t="s">
        <v>195</v>
      </c>
      <c r="G73" s="152" t="s">
        <v>31</v>
      </c>
      <c r="H73" s="152" t="s">
        <v>31</v>
      </c>
      <c r="I73" s="152" t="s">
        <v>31</v>
      </c>
      <c r="J73" s="152" t="s">
        <v>31</v>
      </c>
      <c r="K73" s="152" t="s">
        <v>31</v>
      </c>
      <c r="L73" s="152" t="s">
        <v>31</v>
      </c>
      <c r="M73" s="152" t="s">
        <v>31</v>
      </c>
      <c r="N73" s="152" t="s">
        <v>31</v>
      </c>
      <c r="O73" s="94" t="s">
        <v>31</v>
      </c>
      <c r="P73" s="152" t="s">
        <v>31</v>
      </c>
      <c r="Q73" s="152" t="s">
        <v>31</v>
      </c>
      <c r="R73" s="94" t="s">
        <v>31</v>
      </c>
      <c r="S73" s="152" t="s">
        <v>31</v>
      </c>
      <c r="T73" s="152" t="s">
        <v>31</v>
      </c>
      <c r="U73" s="152" t="s">
        <v>31</v>
      </c>
      <c r="V73" s="152" t="s">
        <v>195</v>
      </c>
      <c r="W73" s="3"/>
      <c r="X73" s="3"/>
      <c r="Y73" s="3"/>
      <c r="Z73" s="3"/>
      <c r="AA73" s="3"/>
      <c r="AB73" s="3"/>
    </row>
    <row r="74">
      <c r="A74" s="27"/>
      <c r="B74" s="5" t="s">
        <v>3</v>
      </c>
      <c r="C74" s="5" t="s">
        <v>4</v>
      </c>
      <c r="D74" s="12" t="s">
        <v>5</v>
      </c>
      <c r="E74" s="5" t="s">
        <v>6</v>
      </c>
      <c r="F74" s="5" t="s">
        <v>8</v>
      </c>
      <c r="G74" s="5" t="s">
        <v>9</v>
      </c>
      <c r="H74" s="5" t="s">
        <v>10</v>
      </c>
      <c r="I74" s="5" t="s">
        <v>11</v>
      </c>
      <c r="J74" s="5" t="s">
        <v>12</v>
      </c>
      <c r="K74" s="5" t="s">
        <v>13</v>
      </c>
      <c r="L74" s="5" t="s">
        <v>14</v>
      </c>
      <c r="M74" s="5" t="s">
        <v>15</v>
      </c>
      <c r="N74" s="5" t="s">
        <v>16</v>
      </c>
      <c r="O74" s="5" t="s">
        <v>17</v>
      </c>
      <c r="P74" s="5" t="s">
        <v>18</v>
      </c>
      <c r="Q74" s="5" t="s">
        <v>19</v>
      </c>
      <c r="R74" s="5" t="s">
        <v>20</v>
      </c>
      <c r="S74" s="5" t="s">
        <v>21</v>
      </c>
      <c r="T74" s="5" t="s">
        <v>22</v>
      </c>
      <c r="U74" s="5" t="s">
        <v>23</v>
      </c>
      <c r="V74" s="5" t="s">
        <v>24</v>
      </c>
      <c r="W74" s="16" t="s">
        <v>25</v>
      </c>
      <c r="X74" s="247"/>
      <c r="Y74" s="204"/>
      <c r="Z74" s="3"/>
      <c r="AA74" s="3"/>
      <c r="AB74" s="3"/>
    </row>
    <row r="75">
      <c r="A75" s="27"/>
      <c r="B75" s="13" t="s">
        <v>247</v>
      </c>
      <c r="C75" s="19" t="s">
        <v>2065</v>
      </c>
      <c r="D75" s="19" t="s">
        <v>2065</v>
      </c>
      <c r="E75" s="19" t="s">
        <v>2065</v>
      </c>
      <c r="F75" s="19" t="s">
        <v>2065</v>
      </c>
      <c r="G75" s="19" t="s">
        <v>2066</v>
      </c>
      <c r="H75" s="19" t="s">
        <v>2066</v>
      </c>
      <c r="I75" s="19" t="s">
        <v>2066</v>
      </c>
      <c r="J75" s="19" t="s">
        <v>2066</v>
      </c>
      <c r="K75" s="19" t="s">
        <v>2067</v>
      </c>
      <c r="L75" s="19" t="s">
        <v>2067</v>
      </c>
      <c r="M75" s="19" t="s">
        <v>2067</v>
      </c>
      <c r="N75" s="141" t="s">
        <v>2066</v>
      </c>
      <c r="O75" s="141" t="s">
        <v>2066</v>
      </c>
      <c r="P75" s="19" t="s">
        <v>2069</v>
      </c>
      <c r="Q75" s="19"/>
      <c r="R75" s="19" t="s">
        <v>2069</v>
      </c>
      <c r="S75" s="19" t="s">
        <v>2071</v>
      </c>
      <c r="T75" s="19" t="s">
        <v>2071</v>
      </c>
      <c r="U75" s="19" t="s">
        <v>2071</v>
      </c>
      <c r="V75" s="19" t="s">
        <v>2071</v>
      </c>
      <c r="W75" s="141" t="s">
        <v>2376</v>
      </c>
      <c r="X75" s="284"/>
      <c r="Y75" s="194"/>
      <c r="Z75" s="3"/>
      <c r="AA75" s="3"/>
      <c r="AB75" s="3"/>
    </row>
    <row r="76" ht="45.0" customHeight="1">
      <c r="A76" s="27"/>
      <c r="B76" s="29"/>
      <c r="C76" s="39" t="str">
        <f>HYPERLINK("https://www.youtube.com/watch?v=kQ0IvjM2CtA","วันสำคัญทางพระพุทธศาสนา ตอน 1")</f>
        <v>วันสำคัญทางพระพุทธศาสนา ตอน 1</v>
      </c>
      <c r="D76" s="55" t="s">
        <v>2923</v>
      </c>
      <c r="E76" s="335" t="s">
        <v>2924</v>
      </c>
      <c r="F76" s="55" t="s">
        <v>2925</v>
      </c>
      <c r="G76" s="46" t="s">
        <v>2926</v>
      </c>
      <c r="H76" s="46" t="s">
        <v>2927</v>
      </c>
      <c r="I76" s="46" t="s">
        <v>2928</v>
      </c>
      <c r="J76" s="46" t="s">
        <v>2929</v>
      </c>
      <c r="K76" s="46" t="s">
        <v>2930</v>
      </c>
      <c r="L76" s="46" t="s">
        <v>2931</v>
      </c>
      <c r="M76" s="46" t="s">
        <v>2932</v>
      </c>
      <c r="N76" s="55" t="s">
        <v>2933</v>
      </c>
      <c r="O76" s="55" t="s">
        <v>2934</v>
      </c>
      <c r="P76" s="55" t="s">
        <v>2935</v>
      </c>
      <c r="Q76" s="55" t="s">
        <v>2936</v>
      </c>
      <c r="R76" s="46" t="s">
        <v>2937</v>
      </c>
      <c r="S76" s="46" t="s">
        <v>2938</v>
      </c>
      <c r="T76" s="46" t="s">
        <v>2939</v>
      </c>
      <c r="U76" s="46" t="s">
        <v>2940</v>
      </c>
      <c r="V76" s="46" t="s">
        <v>2941</v>
      </c>
      <c r="W76" s="55" t="s">
        <v>2942</v>
      </c>
      <c r="X76" s="254"/>
      <c r="Y76" s="49"/>
      <c r="Z76" s="3"/>
      <c r="AA76" s="3"/>
      <c r="AB76" s="3"/>
    </row>
    <row r="77">
      <c r="A77" s="27"/>
      <c r="B77" s="29"/>
      <c r="C77" s="10" t="s">
        <v>2943</v>
      </c>
      <c r="D77" s="10" t="s">
        <v>2943</v>
      </c>
      <c r="E77" s="10" t="s">
        <v>2943</v>
      </c>
      <c r="F77" s="10" t="s">
        <v>2943</v>
      </c>
      <c r="G77" s="10" t="s">
        <v>2944</v>
      </c>
      <c r="H77" s="10" t="s">
        <v>2944</v>
      </c>
      <c r="I77" s="10" t="s">
        <v>2944</v>
      </c>
      <c r="J77" s="10" t="s">
        <v>2944</v>
      </c>
      <c r="K77" s="10" t="s">
        <v>2945</v>
      </c>
      <c r="L77" s="10" t="s">
        <v>2945</v>
      </c>
      <c r="M77" s="10" t="s">
        <v>2945</v>
      </c>
      <c r="N77" s="75" t="s">
        <v>2946</v>
      </c>
      <c r="O77" s="75" t="s">
        <v>2946</v>
      </c>
      <c r="P77" s="75" t="s">
        <v>2947</v>
      </c>
      <c r="Q77" s="75" t="s">
        <v>2947</v>
      </c>
      <c r="R77" s="10" t="s">
        <v>2948</v>
      </c>
      <c r="S77" s="10" t="s">
        <v>2949</v>
      </c>
      <c r="T77" s="10" t="s">
        <v>2949</v>
      </c>
      <c r="U77" s="10" t="s">
        <v>2949</v>
      </c>
      <c r="V77" s="10" t="s">
        <v>2949</v>
      </c>
      <c r="W77" s="75" t="s">
        <v>2672</v>
      </c>
      <c r="X77" s="247"/>
      <c r="Y77" s="3"/>
      <c r="Z77" s="3"/>
      <c r="AA77" s="3"/>
      <c r="AB77" s="3"/>
    </row>
    <row r="78" ht="15.0" customHeight="1">
      <c r="A78" s="27"/>
      <c r="B78" s="29"/>
      <c r="C78" s="10" t="s">
        <v>1481</v>
      </c>
      <c r="D78" s="10" t="s">
        <v>1481</v>
      </c>
      <c r="E78" s="10" t="s">
        <v>1481</v>
      </c>
      <c r="F78" s="10" t="s">
        <v>1481</v>
      </c>
      <c r="G78" s="10" t="s">
        <v>998</v>
      </c>
      <c r="H78" s="10" t="s">
        <v>998</v>
      </c>
      <c r="I78" s="10" t="s">
        <v>998</v>
      </c>
      <c r="J78" s="10" t="s">
        <v>998</v>
      </c>
      <c r="K78" s="10" t="s">
        <v>1009</v>
      </c>
      <c r="L78" s="10" t="s">
        <v>1009</v>
      </c>
      <c r="M78" s="10" t="s">
        <v>1009</v>
      </c>
      <c r="N78" s="75" t="s">
        <v>1344</v>
      </c>
      <c r="O78" s="75" t="s">
        <v>1344</v>
      </c>
      <c r="P78" s="75" t="s">
        <v>1972</v>
      </c>
      <c r="Q78" s="75" t="s">
        <v>1972</v>
      </c>
      <c r="R78" s="10" t="s">
        <v>2950</v>
      </c>
      <c r="S78" s="10" t="s">
        <v>2951</v>
      </c>
      <c r="T78" s="10" t="s">
        <v>2951</v>
      </c>
      <c r="U78" s="10" t="s">
        <v>2951</v>
      </c>
      <c r="V78" s="10" t="s">
        <v>2951</v>
      </c>
      <c r="W78" s="75" t="s">
        <v>1344</v>
      </c>
      <c r="X78" s="247"/>
      <c r="Y78" s="3"/>
      <c r="Z78" s="3"/>
      <c r="AA78" s="3"/>
      <c r="AB78" s="3"/>
    </row>
    <row r="79">
      <c r="A79" s="27"/>
      <c r="B79" s="29"/>
      <c r="C79" s="10" t="s">
        <v>1176</v>
      </c>
      <c r="D79" s="10" t="s">
        <v>1176</v>
      </c>
      <c r="E79" s="10" t="s">
        <v>1176</v>
      </c>
      <c r="F79" s="10" t="s">
        <v>1176</v>
      </c>
      <c r="G79" s="10" t="s">
        <v>1014</v>
      </c>
      <c r="H79" s="10" t="s">
        <v>1014</v>
      </c>
      <c r="I79" s="10" t="s">
        <v>1014</v>
      </c>
      <c r="J79" s="10" t="s">
        <v>1014</v>
      </c>
      <c r="K79" s="10" t="s">
        <v>1106</v>
      </c>
      <c r="L79" s="10" t="s">
        <v>1106</v>
      </c>
      <c r="M79" s="10" t="s">
        <v>1106</v>
      </c>
      <c r="N79" s="75" t="s">
        <v>1031</v>
      </c>
      <c r="O79" s="75" t="s">
        <v>1031</v>
      </c>
      <c r="P79" s="75" t="s">
        <v>1012</v>
      </c>
      <c r="Q79" s="75" t="s">
        <v>1012</v>
      </c>
      <c r="R79" s="10" t="s">
        <v>861</v>
      </c>
      <c r="S79" s="10" t="s">
        <v>1176</v>
      </c>
      <c r="T79" s="10" t="s">
        <v>1176</v>
      </c>
      <c r="U79" s="10" t="s">
        <v>1176</v>
      </c>
      <c r="V79" s="10" t="s">
        <v>1176</v>
      </c>
      <c r="W79" s="75" t="s">
        <v>1031</v>
      </c>
      <c r="X79" s="247"/>
      <c r="Y79" s="3"/>
      <c r="Z79" s="3"/>
      <c r="AA79" s="3"/>
      <c r="AB79" s="3"/>
    </row>
    <row r="80">
      <c r="A80" s="27"/>
      <c r="B80" s="29"/>
      <c r="C80" s="98" t="str">
        <f>HYPERLINK("https://www.youtube.com/watch?v=kQ0IvjM2CtA","https://www.youtube.com/watch?v=kQ0IvjM2CtA")</f>
        <v>https://www.youtube.com/watch?v=kQ0IvjM2CtA</v>
      </c>
      <c r="D80" s="91" t="s">
        <v>2964</v>
      </c>
      <c r="E80" s="91" t="s">
        <v>2969</v>
      </c>
      <c r="F80" s="91" t="s">
        <v>2971</v>
      </c>
      <c r="G80" s="91" t="s">
        <v>2972</v>
      </c>
      <c r="H80" s="91" t="s">
        <v>2974</v>
      </c>
      <c r="I80" s="91" t="s">
        <v>2975</v>
      </c>
      <c r="J80" s="91" t="s">
        <v>2977</v>
      </c>
      <c r="K80" s="91" t="s">
        <v>2978</v>
      </c>
      <c r="L80" s="91" t="s">
        <v>2979</v>
      </c>
      <c r="M80" s="91" t="s">
        <v>2980</v>
      </c>
      <c r="N80" s="91" t="s">
        <v>2981</v>
      </c>
      <c r="O80" s="91" t="s">
        <v>2982</v>
      </c>
      <c r="P80" s="91" t="s">
        <v>2984</v>
      </c>
      <c r="Q80" s="91" t="s">
        <v>2986</v>
      </c>
      <c r="R80" s="91" t="s">
        <v>2988</v>
      </c>
      <c r="S80" s="91" t="s">
        <v>2990</v>
      </c>
      <c r="T80" s="91" t="s">
        <v>2992</v>
      </c>
      <c r="U80" s="91" t="s">
        <v>2994</v>
      </c>
      <c r="V80" s="91" t="s">
        <v>2996</v>
      </c>
      <c r="W80" s="91" t="s">
        <v>2997</v>
      </c>
      <c r="X80" s="259"/>
      <c r="Y80" s="204"/>
      <c r="Z80" s="3"/>
      <c r="AA80" s="3"/>
      <c r="AB80" s="3"/>
    </row>
    <row r="81">
      <c r="A81" s="27"/>
      <c r="B81" s="79"/>
      <c r="C81" s="98" t="str">
        <f>HYPERLINK("https://drive.google.com/folderview?id=0B0x_dulH5-nER1lUZGQzMFVpa2s&amp;usp=sharing","ดาวน์โหลดเอกสารประกอบ")</f>
        <v>ดาวน์โหลดเอกสารประกอบ</v>
      </c>
      <c r="D81" s="98" t="str">
        <f>HYPERLINK("https://drive.google.com/folderview?id=0B0x_dulH5-nEMTBzSXBDTk5oSFE&amp;usp=sharing","ดาวน์โหลดเอกสารประกอบ")</f>
        <v>ดาวน์โหลดเอกสารประกอบ</v>
      </c>
      <c r="E81" s="98" t="str">
        <f>HYPERLINK("https://drive.google.com/folderview?id=0B0x_dulH5-nEa2N2RFFaUTlGc1E&amp;usp=sharing","ดาวน์โหลดเอกสารประกอบ")</f>
        <v>ดาวน์โหลดเอกสารประกอบ</v>
      </c>
      <c r="F81" s="98" t="str">
        <f>HYPERLINK("https://drive.google.com/folderview?id=0B0x_dulH5-nEOHZUWWlTZnM4MEk&amp;usp=sharing","ดาวน์โหลดเอกสารประกอบ")</f>
        <v>ดาวน์โหลดเอกสารประกอบ</v>
      </c>
      <c r="G81" s="152" t="s">
        <v>31</v>
      </c>
      <c r="H81" s="152" t="s">
        <v>31</v>
      </c>
      <c r="I81" s="152" t="s">
        <v>31</v>
      </c>
      <c r="J81" s="98" t="str">
        <f>HYPERLINK("https://drive.google.com/folderview?id=0B4mky1MMW8dYflk2ME1YNFdHdGJvV0xZcGJ3U2RPMXpTcDVsbDJESEU4M1JEUG1HUC0tR3c&amp;usp=sharing","ดาวน์โหลดเอกสารประกอบ")</f>
        <v>ดาวน์โหลดเอกสารประกอบ</v>
      </c>
      <c r="K81" s="152" t="s">
        <v>31</v>
      </c>
      <c r="L81" s="152" t="s">
        <v>31</v>
      </c>
      <c r="M81" s="152" t="s">
        <v>31</v>
      </c>
      <c r="N81" s="152" t="s">
        <v>31</v>
      </c>
      <c r="O81" s="152" t="s">
        <v>31</v>
      </c>
      <c r="P81" s="98" t="str">
        <f>HYPERLINK("https://drive.google.com/folderview?id=0B4mky1MMW8dYa2RvaXpCZGstcVk&amp;usp=sharing","ดาวน์โหลดเอกสารประกอบ")</f>
        <v>ดาวน์โหลดเอกสารประกอบ</v>
      </c>
      <c r="Q81" s="98" t="str">
        <f>HYPERLINK("https://drive.google.com/folderview?id=0B4mky1MMW8dYYlhNSG9XQXdYQmM&amp;usp=sharing","ดาวน์โหลดเอกสารประกอบ")</f>
        <v>ดาวน์โหลดเอกสารประกอบ</v>
      </c>
      <c r="R81" s="98" t="str">
        <f>HYPERLINK("https://drive.google.com/folderview?id=0BydHLJgPtYsXfmJzVkhyY1BNQnlyNFZvVDVycTdUR3hFenM3YTFUSW5YWkR4TldubW5KRnc&amp;usp=sharing","ดาวน์โหลดเอกสารประกอบ")</f>
        <v>ดาวน์โหลดเอกสารประกอบ</v>
      </c>
      <c r="S81" s="98" t="str">
        <f>HYPERLINK("https://drive.google.com/folderview?id=0B0x_dulH5-nEZ0dGY1lzWmRXaDg&amp;usp=sharing","ดาวน์โหลดเอกสารประกอบ")</f>
        <v>ดาวน์โหลดเอกสารประกอบ</v>
      </c>
      <c r="T81" s="98" t="str">
        <f>HYPERLINK("https://drive.google.com/folderview?id=0B0x_dulH5-nEY24wMUZDdHBWdVk&amp;usp=sharing","ดาวน์โหลดเอกสารประกอบ")</f>
        <v>ดาวน์โหลดเอกสารประกอบ</v>
      </c>
      <c r="U81" s="98" t="str">
        <f t="shared" ref="U81:V81" si="1">HYPERLINK("https://drive.google.com/folderview?id=0B0x_dulH5-nEZElqb2VNS2RpZHM&amp;usp=sharing","ดาวน์โหลดเอกสารประกอบ")</f>
        <v>ดาวน์โหลดเอกสารประกอบ</v>
      </c>
      <c r="V81" s="98" t="str">
        <f t="shared" si="1"/>
        <v>ดาวน์โหลดเอกสารประกอบ</v>
      </c>
      <c r="W81" s="152" t="s">
        <v>31</v>
      </c>
      <c r="X81" s="247"/>
      <c r="Y81" s="273"/>
      <c r="Z81" s="3"/>
      <c r="AA81" s="3"/>
      <c r="AB81" s="3"/>
    </row>
    <row r="82">
      <c r="A82" s="27"/>
      <c r="B82" s="5" t="s">
        <v>3</v>
      </c>
      <c r="C82" s="5" t="s">
        <v>4</v>
      </c>
      <c r="D82" s="12" t="s">
        <v>5</v>
      </c>
      <c r="E82" s="5" t="s">
        <v>6</v>
      </c>
      <c r="F82" s="5" t="s">
        <v>8</v>
      </c>
      <c r="G82" s="5" t="s">
        <v>9</v>
      </c>
      <c r="H82" s="5" t="s">
        <v>10</v>
      </c>
      <c r="I82" s="5" t="s">
        <v>11</v>
      </c>
      <c r="J82" s="5" t="s">
        <v>12</v>
      </c>
      <c r="K82" s="5" t="s">
        <v>13</v>
      </c>
      <c r="L82" s="5" t="s">
        <v>14</v>
      </c>
      <c r="M82" s="5" t="s">
        <v>15</v>
      </c>
      <c r="N82" s="5" t="s">
        <v>16</v>
      </c>
      <c r="O82" s="5" t="s">
        <v>17</v>
      </c>
      <c r="P82" s="5" t="s">
        <v>18</v>
      </c>
      <c r="Q82" s="5" t="s">
        <v>19</v>
      </c>
      <c r="R82" s="5" t="s">
        <v>20</v>
      </c>
      <c r="S82" s="5" t="s">
        <v>21</v>
      </c>
      <c r="T82" s="5"/>
      <c r="U82" s="5"/>
      <c r="V82" s="5"/>
      <c r="W82" s="3"/>
      <c r="X82" s="3"/>
      <c r="Y82" s="3"/>
      <c r="Z82" s="3"/>
      <c r="AA82" s="3"/>
      <c r="AB82" s="3"/>
    </row>
    <row r="83">
      <c r="A83" s="27"/>
      <c r="B83" s="13" t="s">
        <v>259</v>
      </c>
      <c r="C83" s="19" t="s">
        <v>2064</v>
      </c>
      <c r="D83" s="19" t="s">
        <v>2064</v>
      </c>
      <c r="E83" s="19" t="s">
        <v>2064</v>
      </c>
      <c r="F83" s="19" t="s">
        <v>2064</v>
      </c>
      <c r="G83" s="19" t="s">
        <v>2376</v>
      </c>
      <c r="H83" s="19" t="s">
        <v>2376</v>
      </c>
      <c r="I83" s="19" t="s">
        <v>2376</v>
      </c>
      <c r="J83" s="19" t="s">
        <v>2376</v>
      </c>
      <c r="K83" s="19" t="s">
        <v>2067</v>
      </c>
      <c r="L83" s="19" t="s">
        <v>2067</v>
      </c>
      <c r="M83" s="19" t="s">
        <v>2067</v>
      </c>
      <c r="N83" s="19" t="s">
        <v>2068</v>
      </c>
      <c r="O83" s="19" t="s">
        <v>2070</v>
      </c>
      <c r="P83" s="19" t="s">
        <v>2070</v>
      </c>
      <c r="Q83" s="19" t="s">
        <v>2071</v>
      </c>
      <c r="R83" s="19"/>
      <c r="S83" s="19"/>
      <c r="T83" s="19"/>
      <c r="U83" s="19"/>
      <c r="V83" s="19"/>
      <c r="W83" s="3"/>
      <c r="X83" s="3"/>
      <c r="Y83" s="3"/>
      <c r="Z83" s="3"/>
      <c r="AA83" s="3"/>
      <c r="AB83" s="3"/>
    </row>
    <row r="84" ht="30.0" customHeight="1">
      <c r="A84" s="27"/>
      <c r="B84" s="29"/>
      <c r="C84" s="34" t="str">
        <f>HYPERLINK("https://www.youtube.com/watch?v=1_gRIDSgv8Y","โยนิโสมนสิการ ตอน 1")</f>
        <v>โยนิโสมนสิการ ตอน 1</v>
      </c>
      <c r="D84" s="46" t="s">
        <v>3019</v>
      </c>
      <c r="E84" s="55" t="s">
        <v>3020</v>
      </c>
      <c r="F84" s="55" t="s">
        <v>3021</v>
      </c>
      <c r="G84" s="55" t="s">
        <v>3022</v>
      </c>
      <c r="H84" s="55" t="s">
        <v>3023</v>
      </c>
      <c r="I84" s="55" t="s">
        <v>3024</v>
      </c>
      <c r="J84" s="55" t="s">
        <v>3025</v>
      </c>
      <c r="K84" s="46" t="s">
        <v>3026</v>
      </c>
      <c r="L84" s="46" t="s">
        <v>3027</v>
      </c>
      <c r="M84" s="46" t="s">
        <v>3028</v>
      </c>
      <c r="N84" s="46" t="s">
        <v>3029</v>
      </c>
      <c r="O84" s="55" t="s">
        <v>3030</v>
      </c>
      <c r="P84" s="55" t="s">
        <v>3031</v>
      </c>
      <c r="Q84" s="46" t="s">
        <v>3032</v>
      </c>
      <c r="R84" s="46" t="s">
        <v>3033</v>
      </c>
      <c r="S84" s="55" t="s">
        <v>3034</v>
      </c>
      <c r="T84" s="46"/>
      <c r="U84" s="55"/>
      <c r="V84" s="46"/>
      <c r="W84" s="3"/>
      <c r="X84" s="3"/>
      <c r="Y84" s="3"/>
      <c r="Z84" s="3"/>
      <c r="AA84" s="3"/>
      <c r="AB84" s="3"/>
    </row>
    <row r="85">
      <c r="A85" s="27"/>
      <c r="B85" s="29"/>
      <c r="C85" s="75" t="s">
        <v>3036</v>
      </c>
      <c r="D85" s="75" t="s">
        <v>3036</v>
      </c>
      <c r="E85" s="10" t="s">
        <v>3037</v>
      </c>
      <c r="F85" s="10" t="s">
        <v>3037</v>
      </c>
      <c r="G85" s="75" t="s">
        <v>3038</v>
      </c>
      <c r="H85" s="75" t="s">
        <v>3038</v>
      </c>
      <c r="I85" s="75" t="s">
        <v>3038</v>
      </c>
      <c r="J85" s="75" t="s">
        <v>3038</v>
      </c>
      <c r="K85" s="10" t="s">
        <v>2945</v>
      </c>
      <c r="L85" s="10" t="s">
        <v>2945</v>
      </c>
      <c r="M85" s="10" t="s">
        <v>2945</v>
      </c>
      <c r="N85" s="10" t="s">
        <v>2945</v>
      </c>
      <c r="O85" s="75" t="s">
        <v>3040</v>
      </c>
      <c r="P85" s="75" t="s">
        <v>3040</v>
      </c>
      <c r="Q85" s="75" t="s">
        <v>3041</v>
      </c>
      <c r="R85" s="75" t="s">
        <v>3041</v>
      </c>
      <c r="S85" s="75" t="s">
        <v>3041</v>
      </c>
      <c r="T85" s="10"/>
      <c r="U85" s="10"/>
      <c r="V85" s="10"/>
      <c r="W85" s="3"/>
      <c r="X85" s="3"/>
      <c r="Y85" s="3"/>
      <c r="Z85" s="3"/>
      <c r="AA85" s="3"/>
      <c r="AB85" s="3"/>
    </row>
    <row r="86" ht="15.0" customHeight="1">
      <c r="A86" s="27"/>
      <c r="B86" s="29"/>
      <c r="C86" s="10" t="s">
        <v>1009</v>
      </c>
      <c r="D86" s="10" t="s">
        <v>1009</v>
      </c>
      <c r="E86" s="10" t="s">
        <v>3044</v>
      </c>
      <c r="F86" s="10" t="s">
        <v>3044</v>
      </c>
      <c r="G86" s="10" t="s">
        <v>1009</v>
      </c>
      <c r="H86" s="10" t="s">
        <v>1009</v>
      </c>
      <c r="I86" s="10" t="s">
        <v>1009</v>
      </c>
      <c r="J86" s="10" t="s">
        <v>1009</v>
      </c>
      <c r="K86" s="10" t="s">
        <v>1009</v>
      </c>
      <c r="L86" s="10" t="s">
        <v>1009</v>
      </c>
      <c r="M86" s="10" t="s">
        <v>1009</v>
      </c>
      <c r="N86" s="10" t="s">
        <v>1009</v>
      </c>
      <c r="O86" s="75" t="s">
        <v>3046</v>
      </c>
      <c r="P86" s="75" t="s">
        <v>3046</v>
      </c>
      <c r="Q86" s="75" t="s">
        <v>3048</v>
      </c>
      <c r="R86" s="75" t="s">
        <v>3048</v>
      </c>
      <c r="S86" s="75" t="s">
        <v>3048</v>
      </c>
      <c r="T86" s="10"/>
      <c r="U86" s="10"/>
      <c r="V86" s="10"/>
      <c r="W86" s="3"/>
      <c r="X86" s="3"/>
      <c r="Y86" s="3"/>
      <c r="Z86" s="3"/>
      <c r="AA86" s="3"/>
      <c r="AB86" s="3"/>
    </row>
    <row r="87">
      <c r="A87" s="27"/>
      <c r="B87" s="29"/>
      <c r="C87" s="10" t="s">
        <v>1106</v>
      </c>
      <c r="D87" s="10" t="s">
        <v>1106</v>
      </c>
      <c r="E87" s="10" t="s">
        <v>105</v>
      </c>
      <c r="F87" s="10" t="s">
        <v>105</v>
      </c>
      <c r="G87" s="10" t="s">
        <v>1106</v>
      </c>
      <c r="H87" s="10" t="s">
        <v>1106</v>
      </c>
      <c r="I87" s="10" t="s">
        <v>1106</v>
      </c>
      <c r="J87" s="10" t="s">
        <v>1106</v>
      </c>
      <c r="K87" s="10" t="s">
        <v>1106</v>
      </c>
      <c r="L87" s="10" t="s">
        <v>1106</v>
      </c>
      <c r="M87" s="10" t="s">
        <v>1106</v>
      </c>
      <c r="N87" s="10" t="s">
        <v>1106</v>
      </c>
      <c r="O87" s="75" t="s">
        <v>105</v>
      </c>
      <c r="P87" s="75" t="s">
        <v>105</v>
      </c>
      <c r="Q87" s="75" t="s">
        <v>3051</v>
      </c>
      <c r="R87" s="75" t="s">
        <v>3051</v>
      </c>
      <c r="S87" s="75" t="s">
        <v>3051</v>
      </c>
      <c r="T87" s="10"/>
      <c r="U87" s="10"/>
      <c r="V87" s="10"/>
      <c r="W87" s="3"/>
      <c r="X87" s="3"/>
      <c r="Y87" s="3"/>
      <c r="Z87" s="3"/>
      <c r="AA87" s="3"/>
      <c r="AB87" s="3"/>
    </row>
    <row r="88">
      <c r="A88" s="27"/>
      <c r="B88" s="29"/>
      <c r="C88" s="91" t="s">
        <v>3052</v>
      </c>
      <c r="D88" s="91" t="s">
        <v>3053</v>
      </c>
      <c r="E88" s="91" t="s">
        <v>3054</v>
      </c>
      <c r="F88" s="91" t="s">
        <v>3055</v>
      </c>
      <c r="G88" s="91" t="s">
        <v>3056</v>
      </c>
      <c r="H88" s="91" t="s">
        <v>3057</v>
      </c>
      <c r="I88" s="91" t="s">
        <v>3058</v>
      </c>
      <c r="J88" s="91" t="s">
        <v>3059</v>
      </c>
      <c r="K88" s="91" t="s">
        <v>3060</v>
      </c>
      <c r="L88" s="91" t="s">
        <v>3061</v>
      </c>
      <c r="M88" s="91" t="s">
        <v>3062</v>
      </c>
      <c r="N88" s="91" t="s">
        <v>3063</v>
      </c>
      <c r="O88" s="91" t="s">
        <v>3064</v>
      </c>
      <c r="P88" s="91" t="s">
        <v>3065</v>
      </c>
      <c r="Q88" s="91" t="s">
        <v>3066</v>
      </c>
      <c r="R88" s="91" t="s">
        <v>3067</v>
      </c>
      <c r="S88" s="91" t="s">
        <v>3068</v>
      </c>
      <c r="T88" s="211"/>
      <c r="U88" s="211"/>
      <c r="V88" s="211"/>
      <c r="W88" s="3"/>
      <c r="X88" s="3"/>
      <c r="Y88" s="3"/>
      <c r="Z88" s="3"/>
      <c r="AA88" s="3"/>
      <c r="AB88" s="3"/>
    </row>
    <row r="89">
      <c r="A89" s="27"/>
      <c r="B89" s="79"/>
      <c r="C89" s="152" t="s">
        <v>31</v>
      </c>
      <c r="D89" s="152" t="s">
        <v>31</v>
      </c>
      <c r="E89" s="152" t="s">
        <v>31</v>
      </c>
      <c r="F89" s="152" t="s">
        <v>31</v>
      </c>
      <c r="G89" s="98" t="str">
        <f>HYPERLINK("https://drive.google.com/folderview?id=0B0x_dulH5-nEQ2xpNmhhWDhkVTA&amp;usp=sharing","ดาวน์โหลดเอกสารประกอบ")</f>
        <v>ดาวน์โหลดเอกสารประกอบ</v>
      </c>
      <c r="H89" s="98" t="str">
        <f>HYPERLINK("https://drive.google.com/folderview?id=0B0x_dulH5-nEd3JXbkE5UWEwbW8&amp;usp=sharing","ดาวน์โหลดเอกสารประกอบ")</f>
        <v>ดาวน์โหลดเอกสารประกอบ</v>
      </c>
      <c r="I89" s="98" t="str">
        <f>HYPERLINK("https://drive.google.com/folderview?id=0B0x_dulH5-nEZGRwVlEyS3k2UEE&amp;usp=sharing","ดาวน์โหลดเอกสารประกอบ")</f>
        <v>ดาวน์โหลดเอกสารประกอบ</v>
      </c>
      <c r="J89" s="98" t="str">
        <f>HYPERLINK("https://drive.google.com/folderview?id=0B0x_dulH5-nEaUdSN1ZGLW5qYXc&amp;usp=sharing","ดาวน์โหลดเอกสารประกอบ")</f>
        <v>ดาวน์โหลดเอกสารประกอบ</v>
      </c>
      <c r="K89" s="152" t="s">
        <v>31</v>
      </c>
      <c r="L89" s="152" t="s">
        <v>31</v>
      </c>
      <c r="M89" s="152" t="s">
        <v>31</v>
      </c>
      <c r="N89" s="152" t="s">
        <v>31</v>
      </c>
      <c r="O89" s="98" t="str">
        <f>HYPERLINK("https://drive.google.com/folderview?id=0B0x_dulH5-nETWhud2V3bDBCNGM&amp;usp=sharing","ดาวน์โหลดเอกสารประกอบ")</f>
        <v>ดาวน์โหลดเอกสารประกอบ</v>
      </c>
      <c r="P89" s="98" t="str">
        <f>HYPERLINK("https://drive.google.com/folderview?id=0B0x_dulH5-nEVnRudjhvM0NnQTQ&amp;usp=sharing","ดาวน์โหลดเอกสารประกอบ")</f>
        <v>ดาวน์โหลดเอกสารประกอบ</v>
      </c>
      <c r="Q89" s="98" t="str">
        <f>HYPERLINK("https://drive.google.com/folderview?id=0B0x_dulH5-nEfmQyWG8yS0t4akFrNWM2WmVfZzJiMU9pMkEtcG92cjRpNEk2eWRuUnp1eUU&amp;usp=sharing","ดาวน์โหลดเอกสารประกอบ")</f>
        <v>ดาวน์โหลดเอกสารประกอบ</v>
      </c>
      <c r="R89" s="98" t="str">
        <f>HYPERLINK("https://drive.google.com/folderview?id=0B0x_dulH5-nEfjU0S29tUEQxWUFiLWpuU180dXp3cC14cGdJcmE1M0xhbURUSHJRM2RVemM&amp;usp=sharing","ดาวน์โหลดเอกสารประกอบ")</f>
        <v>ดาวน์โหลดเอกสารประกอบ</v>
      </c>
      <c r="S89" s="98" t="str">
        <f>HYPERLINK("https://drive.google.com/folderview?id=0B0x_dulH5-nEfmlHSUFWV2NSZmVfNEpucnM4bUptbGNpWEJPa3NtMEwtY19tVDNZQVFTbUk&amp;usp=sharing","ดาวน์โหลดเอกสารประกอบ")</f>
        <v>ดาวน์โหลดเอกสารประกอบ</v>
      </c>
      <c r="T89" s="129"/>
      <c r="U89" s="129"/>
      <c r="V89" s="152"/>
      <c r="W89" s="3"/>
      <c r="X89" s="3"/>
      <c r="Y89" s="3"/>
      <c r="Z89" s="3"/>
      <c r="AA89" s="3"/>
      <c r="AB89" s="3"/>
    </row>
    <row r="90">
      <c r="A90" s="27"/>
      <c r="B90" s="5" t="s">
        <v>3</v>
      </c>
      <c r="C90" s="7" t="s">
        <v>4</v>
      </c>
      <c r="D90" s="12" t="s">
        <v>5</v>
      </c>
      <c r="E90" s="5" t="s">
        <v>6</v>
      </c>
      <c r="F90" s="5" t="s">
        <v>8</v>
      </c>
      <c r="G90" s="5" t="s">
        <v>9</v>
      </c>
      <c r="H90" s="5" t="s">
        <v>10</v>
      </c>
      <c r="I90" s="5" t="s">
        <v>11</v>
      </c>
      <c r="J90" s="5" t="s">
        <v>12</v>
      </c>
      <c r="K90" s="5" t="s">
        <v>13</v>
      </c>
      <c r="L90" s="5" t="s">
        <v>14</v>
      </c>
      <c r="M90" s="5" t="s">
        <v>15</v>
      </c>
      <c r="N90" s="5" t="s">
        <v>16</v>
      </c>
      <c r="O90" s="5" t="s">
        <v>17</v>
      </c>
      <c r="P90" s="5" t="s">
        <v>18</v>
      </c>
      <c r="Q90" s="5" t="s">
        <v>19</v>
      </c>
      <c r="R90" s="5" t="s">
        <v>20</v>
      </c>
      <c r="S90" s="5" t="s">
        <v>21</v>
      </c>
      <c r="T90" s="5" t="s">
        <v>22</v>
      </c>
      <c r="U90" s="16" t="s">
        <v>23</v>
      </c>
      <c r="V90" s="16" t="s">
        <v>24</v>
      </c>
      <c r="W90" s="16" t="s">
        <v>25</v>
      </c>
      <c r="X90" s="16" t="s">
        <v>26</v>
      </c>
      <c r="Y90" s="16" t="s">
        <v>27</v>
      </c>
      <c r="Z90" s="3"/>
      <c r="AA90" s="3"/>
      <c r="AB90" s="3"/>
    </row>
    <row r="91">
      <c r="A91" s="27"/>
      <c r="B91" s="336" t="s">
        <v>269</v>
      </c>
      <c r="C91" s="21" t="s">
        <v>2064</v>
      </c>
      <c r="D91" s="140" t="s">
        <v>2064</v>
      </c>
      <c r="E91" s="19" t="s">
        <v>2064</v>
      </c>
      <c r="F91" s="19" t="s">
        <v>2064</v>
      </c>
      <c r="G91" s="19" t="s">
        <v>2066</v>
      </c>
      <c r="H91" s="19" t="s">
        <v>2066</v>
      </c>
      <c r="I91" s="19" t="s">
        <v>2066</v>
      </c>
      <c r="J91" s="19" t="s">
        <v>2066</v>
      </c>
      <c r="K91" s="19" t="s">
        <v>2068</v>
      </c>
      <c r="L91" s="19" t="s">
        <v>2068</v>
      </c>
      <c r="M91" s="19" t="s">
        <v>2068</v>
      </c>
      <c r="N91" s="19" t="s">
        <v>2068</v>
      </c>
      <c r="O91" s="19" t="s">
        <v>2070</v>
      </c>
      <c r="P91" s="19"/>
      <c r="Q91" s="139"/>
      <c r="R91" s="266" t="s">
        <v>2070</v>
      </c>
      <c r="S91" s="337" t="s">
        <v>2070</v>
      </c>
      <c r="T91" s="140" t="s">
        <v>2070</v>
      </c>
      <c r="U91" s="19" t="s">
        <v>2070</v>
      </c>
      <c r="V91" s="19" t="s">
        <v>2072</v>
      </c>
      <c r="W91" s="19"/>
      <c r="X91" s="19"/>
      <c r="Y91" s="19"/>
      <c r="Z91" s="3"/>
      <c r="AA91" s="3"/>
      <c r="AB91" s="3"/>
    </row>
    <row r="92" ht="30.0" customHeight="1">
      <c r="A92" s="27"/>
      <c r="B92" s="192"/>
      <c r="C92" s="301" t="str">
        <f>HYPERLINK("https://www.youtube.com/watch?v=cYkwls0j9ZI","ศาสนาสากล - พราหมณ์ (ฮินดู) ตอน 1")</f>
        <v>ศาสนาสากล - พราหมณ์ (ฮินดู) ตอน 1</v>
      </c>
      <c r="D92" s="48" t="s">
        <v>3069</v>
      </c>
      <c r="E92" s="55" t="s">
        <v>3070</v>
      </c>
      <c r="F92" s="55" t="s">
        <v>3071</v>
      </c>
      <c r="G92" s="55" t="s">
        <v>3072</v>
      </c>
      <c r="H92" s="55" t="s">
        <v>3073</v>
      </c>
      <c r="I92" s="34" t="str">
        <f>HYPERLINK("https://www.youtube.com/watch?v=vgVeeESoBJw","กฎหมายอาญา ตอน 1")</f>
        <v>กฎหมายอาญา ตอน 1</v>
      </c>
      <c r="J92" s="46" t="s">
        <v>3074</v>
      </c>
      <c r="K92" s="55" t="s">
        <v>3075</v>
      </c>
      <c r="L92" s="46" t="s">
        <v>3076</v>
      </c>
      <c r="M92" s="55" t="s">
        <v>3077</v>
      </c>
      <c r="N92" s="46" t="s">
        <v>3078</v>
      </c>
      <c r="O92" s="55" t="s">
        <v>3079</v>
      </c>
      <c r="P92" s="55" t="s">
        <v>3080</v>
      </c>
      <c r="Q92" s="55" t="s">
        <v>3081</v>
      </c>
      <c r="R92" s="55" t="s">
        <v>3082</v>
      </c>
      <c r="S92" s="55" t="s">
        <v>3083</v>
      </c>
      <c r="T92" s="46" t="s">
        <v>3084</v>
      </c>
      <c r="U92" s="55" t="s">
        <v>3085</v>
      </c>
      <c r="V92" s="46" t="s">
        <v>3086</v>
      </c>
      <c r="W92" s="46" t="s">
        <v>3087</v>
      </c>
      <c r="X92" s="46" t="s">
        <v>3088</v>
      </c>
      <c r="Y92" s="46" t="s">
        <v>3089</v>
      </c>
      <c r="Z92" s="3"/>
      <c r="AA92" s="3"/>
      <c r="AB92" s="3"/>
    </row>
    <row r="93">
      <c r="A93" s="27"/>
      <c r="B93" s="192"/>
      <c r="C93" s="338" t="s">
        <v>3090</v>
      </c>
      <c r="D93" s="338" t="s">
        <v>3090</v>
      </c>
      <c r="E93" s="338" t="s">
        <v>3090</v>
      </c>
      <c r="F93" s="338" t="s">
        <v>3090</v>
      </c>
      <c r="G93" s="75" t="s">
        <v>3091</v>
      </c>
      <c r="H93" s="75" t="s">
        <v>3091</v>
      </c>
      <c r="I93" s="75" t="s">
        <v>3038</v>
      </c>
      <c r="J93" s="75" t="s">
        <v>3038</v>
      </c>
      <c r="K93" s="75" t="s">
        <v>3092</v>
      </c>
      <c r="L93" s="75" t="s">
        <v>3092</v>
      </c>
      <c r="M93" s="75" t="s">
        <v>3092</v>
      </c>
      <c r="N93" s="75" t="s">
        <v>3092</v>
      </c>
      <c r="O93" s="10" t="s">
        <v>3093</v>
      </c>
      <c r="P93" s="75" t="s">
        <v>3094</v>
      </c>
      <c r="Q93" s="75" t="s">
        <v>3094</v>
      </c>
      <c r="R93" s="75" t="s">
        <v>3094</v>
      </c>
      <c r="S93" s="75" t="s">
        <v>3094</v>
      </c>
      <c r="T93" s="75" t="s">
        <v>3095</v>
      </c>
      <c r="U93" s="10" t="s">
        <v>3096</v>
      </c>
      <c r="V93" s="75" t="s">
        <v>3097</v>
      </c>
      <c r="W93" s="75" t="s">
        <v>3097</v>
      </c>
      <c r="X93" s="75" t="s">
        <v>3097</v>
      </c>
      <c r="Y93" s="75" t="s">
        <v>3097</v>
      </c>
      <c r="Z93" s="3"/>
      <c r="AA93" s="3"/>
      <c r="AB93" s="3"/>
    </row>
    <row r="94" ht="15.0" customHeight="1">
      <c r="A94" s="27"/>
      <c r="B94" s="192"/>
      <c r="C94" s="338" t="s">
        <v>3098</v>
      </c>
      <c r="D94" s="338" t="s">
        <v>3098</v>
      </c>
      <c r="E94" s="338" t="s">
        <v>3098</v>
      </c>
      <c r="F94" s="338" t="s">
        <v>3098</v>
      </c>
      <c r="G94" s="75" t="s">
        <v>1736</v>
      </c>
      <c r="H94" s="75" t="s">
        <v>1736</v>
      </c>
      <c r="I94" s="10" t="s">
        <v>1009</v>
      </c>
      <c r="J94" s="10" t="s">
        <v>1009</v>
      </c>
      <c r="K94" s="10" t="s">
        <v>2674</v>
      </c>
      <c r="L94" s="10" t="s">
        <v>2674</v>
      </c>
      <c r="M94" s="10" t="s">
        <v>2674</v>
      </c>
      <c r="N94" s="10" t="s">
        <v>2674</v>
      </c>
      <c r="O94" s="10" t="s">
        <v>998</v>
      </c>
      <c r="P94" s="75" t="s">
        <v>3099</v>
      </c>
      <c r="Q94" s="75" t="s">
        <v>3099</v>
      </c>
      <c r="R94" s="75" t="s">
        <v>3099</v>
      </c>
      <c r="S94" s="75" t="s">
        <v>3099</v>
      </c>
      <c r="T94" s="75" t="s">
        <v>1736</v>
      </c>
      <c r="U94" s="10" t="s">
        <v>1341</v>
      </c>
      <c r="V94" s="75" t="s">
        <v>3100</v>
      </c>
      <c r="W94" s="75" t="s">
        <v>3100</v>
      </c>
      <c r="X94" s="75" t="s">
        <v>3100</v>
      </c>
      <c r="Y94" s="75" t="s">
        <v>3100</v>
      </c>
      <c r="Z94" s="3"/>
      <c r="AA94" s="3"/>
      <c r="AB94" s="3"/>
    </row>
    <row r="95">
      <c r="A95" s="27"/>
      <c r="B95" s="192"/>
      <c r="C95" s="338" t="s">
        <v>105</v>
      </c>
      <c r="D95" s="338" t="s">
        <v>105</v>
      </c>
      <c r="E95" s="338" t="s">
        <v>105</v>
      </c>
      <c r="F95" s="338" t="s">
        <v>105</v>
      </c>
      <c r="G95" s="75" t="s">
        <v>1254</v>
      </c>
      <c r="H95" s="75" t="s">
        <v>1254</v>
      </c>
      <c r="I95" s="10" t="s">
        <v>1106</v>
      </c>
      <c r="J95" s="10" t="s">
        <v>1106</v>
      </c>
      <c r="K95" s="10" t="s">
        <v>128</v>
      </c>
      <c r="L95" s="10" t="s">
        <v>128</v>
      </c>
      <c r="M95" s="10" t="s">
        <v>128</v>
      </c>
      <c r="N95" s="10" t="s">
        <v>128</v>
      </c>
      <c r="O95" s="10" t="s">
        <v>1014</v>
      </c>
      <c r="P95" s="75" t="s">
        <v>105</v>
      </c>
      <c r="Q95" s="75" t="s">
        <v>105</v>
      </c>
      <c r="R95" s="75" t="s">
        <v>105</v>
      </c>
      <c r="S95" s="75" t="s">
        <v>105</v>
      </c>
      <c r="T95" s="75" t="s">
        <v>1254</v>
      </c>
      <c r="U95" s="10" t="s">
        <v>105</v>
      </c>
      <c r="V95" s="75" t="s">
        <v>1404</v>
      </c>
      <c r="W95" s="75" t="s">
        <v>1404</v>
      </c>
      <c r="X95" s="75" t="s">
        <v>1404</v>
      </c>
      <c r="Y95" s="75" t="s">
        <v>1404</v>
      </c>
      <c r="Z95" s="3"/>
      <c r="AA95" s="3"/>
      <c r="AB95" s="3"/>
    </row>
    <row r="96">
      <c r="A96" s="27"/>
      <c r="B96" s="192"/>
      <c r="C96" s="316" t="s">
        <v>3101</v>
      </c>
      <c r="D96" s="85" t="s">
        <v>3102</v>
      </c>
      <c r="E96" s="91" t="s">
        <v>3103</v>
      </c>
      <c r="F96" s="91" t="s">
        <v>3104</v>
      </c>
      <c r="G96" s="91" t="s">
        <v>3105</v>
      </c>
      <c r="H96" s="91" t="s">
        <v>3106</v>
      </c>
      <c r="I96" s="307" t="s">
        <v>3107</v>
      </c>
      <c r="J96" s="91" t="s">
        <v>3108</v>
      </c>
      <c r="K96" s="91" t="s">
        <v>3109</v>
      </c>
      <c r="L96" s="250" t="s">
        <v>3110</v>
      </c>
      <c r="M96" s="91" t="s">
        <v>3111</v>
      </c>
      <c r="N96" s="91" t="s">
        <v>3112</v>
      </c>
      <c r="O96" s="91" t="s">
        <v>3113</v>
      </c>
      <c r="P96" s="91" t="s">
        <v>3114</v>
      </c>
      <c r="Q96" s="91" t="s">
        <v>3115</v>
      </c>
      <c r="R96" s="91" t="s">
        <v>3116</v>
      </c>
      <c r="S96" s="91" t="s">
        <v>3117</v>
      </c>
      <c r="T96" s="91" t="s">
        <v>3118</v>
      </c>
      <c r="U96" s="91" t="s">
        <v>3119</v>
      </c>
      <c r="V96" s="91" t="s">
        <v>3120</v>
      </c>
      <c r="W96" s="91" t="s">
        <v>3121</v>
      </c>
      <c r="X96" s="91" t="s">
        <v>3122</v>
      </c>
      <c r="Y96" s="91" t="s">
        <v>3123</v>
      </c>
      <c r="Z96" s="3"/>
      <c r="AA96" s="3"/>
      <c r="AB96" s="3"/>
    </row>
    <row r="97">
      <c r="A97" s="281"/>
      <c r="B97" s="196"/>
      <c r="C97" s="152" t="s">
        <v>31</v>
      </c>
      <c r="D97" s="152" t="s">
        <v>31</v>
      </c>
      <c r="E97" s="152" t="s">
        <v>31</v>
      </c>
      <c r="F97" s="152" t="s">
        <v>31</v>
      </c>
      <c r="G97" s="98" t="str">
        <f>HYPERLINK("https://drive.google.com/folderview?id=0B4mky1MMW8dYdjZRZkxwc3ZXdkU&amp;usp=sharing","ดาวน์โหลดเอกสารประกอบ")</f>
        <v>ดาวน์โหลดเอกสารประกอบ</v>
      </c>
      <c r="H97" s="98" t="str">
        <f>HYPERLINK("https://drive.google.com/folderview?id=0B4mky1MMW8dYUVF6TFZtWnUzSXM&amp;usp=sharing","ดาวน์โหลดเอกสารประกอบ")</f>
        <v>ดาวน์โหลดเอกสารประกอบ</v>
      </c>
      <c r="I97" s="152" t="s">
        <v>31</v>
      </c>
      <c r="J97" s="152" t="s">
        <v>31</v>
      </c>
      <c r="K97" s="98" t="str">
        <f>HYPERLINK("https://drive.google.com/folderview?id=0B0x_dulH5-nEfk9QZi0weDRZVXprXzJ4b2tsaTlrSGZTaXJ4VnUtby1EZm9uZ0RIc2k4SWc&amp;usp=sharing","ดาวน์โหลดเอกสารประกอบ")</f>
        <v>ดาวน์โหลดเอกสารประกอบ</v>
      </c>
      <c r="L97" s="83" t="str">
        <f>HYPERLINK("https://drive.google.com/folderview?id=0B0x_dulH5-nEfnBqaHVsRmFRaEtBWVRKVWV3anF3enpWMlBSX3VZeF9YMEVUSnFKSkJkX2M&amp;usp=sharing","ดาวน์โหลดเอกสารประกอบ")</f>
        <v>ดาวน์โหลดเอกสารประกอบ</v>
      </c>
      <c r="M97" s="98" t="str">
        <f>HYPERLINK("https://drive.google.com/folderview?id=0B0x_dulH5-nEfkY0R0xwYkd4RWxnSGkxcmZHaHNfem5hWWE3ZkxmVU5HSFh6SWFpM2F6RlE&amp;usp=sharing","ดาวน์โหลดเอกสารประกอบ")</f>
        <v>ดาวน์โหลดเอกสารประกอบ</v>
      </c>
      <c r="N97" s="98" t="str">
        <f>HYPERLINK("https://drive.google.com/folderview?id=0B0x_dulH5-nEfldkWjBfcnpxYWNLcXlrMjdOLWJ6MWVwSzMxZWNmRnpnZXdiR2tvLTh5OTA&amp;usp=sharing","ดาวน์โหลดเอกสารประกอบ")</f>
        <v>ดาวน์โหลดเอกสารประกอบ</v>
      </c>
      <c r="O97" s="98" t="str">
        <f>HYPERLINK("https://drive.google.com/folderview?id=0B0x_dulH5-nEcDBROFZmc2xhTTg&amp;usp=sharing","ดาวน์โหลดเอกสารประกอบ")</f>
        <v>ดาวน์โหลดเอกสารประกอบ</v>
      </c>
      <c r="P97" s="98" t="str">
        <f>HYPERLINK("https://drive.google.com/folderview?id=0B0x_dulH5-nEblRwa3dfVHNUNVU&amp;usp=sharing","ดาวน์โหลดเอกสารประกอบ")</f>
        <v>ดาวน์โหลดเอกสารประกอบ</v>
      </c>
      <c r="Q97" s="98" t="str">
        <f>HYPERLINK("https://drive.google.com/folderview?id=0B0x_dulH5-nEUDlmbGtXZXV6eHM&amp;usp=sharing","ดาวน์โหลดเอกสารประกอบ")</f>
        <v>ดาวน์โหลดเอกสารประกอบ</v>
      </c>
      <c r="R97" s="98" t="str">
        <f>HYPERLINK("https://drive.google.com/folderview?id=0B0x_dulH5-nEZjMzU0psRHNfdE0&amp;usp=sharing","ดาวน์โหลดเอกสารประกอบ")</f>
        <v>ดาวน์โหลดเอกสารประกอบ</v>
      </c>
      <c r="S97" s="98" t="str">
        <f>HYPERLINK("https://drive.google.com/folderview?id=0B0x_dulH5-nETEpIOGZBa25BQUU&amp;usp=sharing","ดาวน์โหลดเอกสารประกอบ")</f>
        <v>ดาวน์โหลดเอกสารประกอบ</v>
      </c>
      <c r="T97" s="98" t="str">
        <f>HYPERLINK("https://drive.google.com/folderview?id=0B4mky1MMW8dYTTBlVTQ4UlZTSUk&amp;usp=sharing","ดาวน์โหลดเอกสารประกอบ")</f>
        <v>ดาวน์โหลดเอกสารประกอบ</v>
      </c>
      <c r="U97" s="152" t="s">
        <v>31</v>
      </c>
      <c r="V97" s="152" t="s">
        <v>31</v>
      </c>
      <c r="W97" s="152" t="s">
        <v>31</v>
      </c>
      <c r="X97" s="152" t="s">
        <v>31</v>
      </c>
      <c r="Y97" s="152" t="s">
        <v>195</v>
      </c>
      <c r="Z97" s="3"/>
      <c r="AA97" s="3"/>
      <c r="AB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</row>
    <row r="100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</row>
    <row r="100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</row>
    <row r="100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</row>
    <row r="100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</row>
    <row r="1006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</row>
    <row r="1007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</row>
    <row r="1008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</row>
    <row r="1009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</row>
    <row r="1010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</row>
    <row r="101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</row>
    <row r="1012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</row>
  </sheetData>
  <mergeCells count="13">
    <mergeCell ref="B59:B65"/>
    <mergeCell ref="B67:B73"/>
    <mergeCell ref="B83:B89"/>
    <mergeCell ref="B75:B81"/>
    <mergeCell ref="B91:B97"/>
    <mergeCell ref="B43:B49"/>
    <mergeCell ref="B51:B57"/>
    <mergeCell ref="B35:B41"/>
    <mergeCell ref="B27:B33"/>
    <mergeCell ref="B19:B25"/>
    <mergeCell ref="B11:B17"/>
    <mergeCell ref="B3:B9"/>
    <mergeCell ref="A3:A97"/>
  </mergeCells>
  <hyperlinks>
    <hyperlink r:id="rId1" ref="D8"/>
    <hyperlink r:id="rId2" ref="E8"/>
    <hyperlink r:id="rId3" ref="F8"/>
    <hyperlink r:id="rId4" ref="G8"/>
    <hyperlink r:id="rId5" ref="H8"/>
    <hyperlink r:id="rId6" ref="I8"/>
    <hyperlink r:id="rId7" ref="J8"/>
    <hyperlink r:id="rId8" ref="K8"/>
    <hyperlink r:id="rId9" ref="L8"/>
    <hyperlink r:id="rId10" ref="M8"/>
    <hyperlink r:id="rId11" ref="N8"/>
    <hyperlink r:id="rId12" ref="O8"/>
    <hyperlink r:id="rId13" ref="P8"/>
    <hyperlink r:id="rId14" ref="Q8"/>
    <hyperlink r:id="rId15" ref="R8"/>
    <hyperlink r:id="rId16" ref="S8"/>
    <hyperlink r:id="rId17" ref="T8"/>
    <hyperlink r:id="rId18" ref="U8"/>
    <hyperlink r:id="rId19" ref="V8"/>
    <hyperlink r:id="rId20" ref="W8"/>
    <hyperlink r:id="rId21" ref="X8"/>
    <hyperlink r:id="rId22" ref="Y8"/>
    <hyperlink r:id="rId23" ref="Z8"/>
    <hyperlink r:id="rId24" ref="C16"/>
    <hyperlink r:id="rId25" ref="D16"/>
    <hyperlink r:id="rId26" ref="E16"/>
    <hyperlink r:id="rId27" ref="F16"/>
    <hyperlink r:id="rId28" ref="G16"/>
    <hyperlink r:id="rId29" ref="H16"/>
    <hyperlink r:id="rId30" ref="I16"/>
    <hyperlink r:id="rId31" ref="J16"/>
    <hyperlink r:id="rId32" ref="K16"/>
    <hyperlink r:id="rId33" ref="L16"/>
    <hyperlink r:id="rId34" ref="M16"/>
    <hyperlink r:id="rId35" ref="N16"/>
    <hyperlink r:id="rId36" ref="O16"/>
    <hyperlink r:id="rId37" ref="P16"/>
    <hyperlink r:id="rId38" ref="Q16"/>
    <hyperlink r:id="rId39" ref="R16"/>
    <hyperlink r:id="rId40" ref="S16"/>
    <hyperlink r:id="rId41" ref="T16"/>
    <hyperlink r:id="rId42" ref="U16"/>
    <hyperlink r:id="rId43" ref="V16"/>
    <hyperlink r:id="rId44" ref="W16"/>
    <hyperlink r:id="rId45" ref="X16"/>
    <hyperlink r:id="rId46" ref="Y16"/>
    <hyperlink r:id="rId47" ref="Z16"/>
    <hyperlink r:id="rId48" ref="C24"/>
    <hyperlink r:id="rId49" ref="E24"/>
    <hyperlink r:id="rId50" ref="F24"/>
    <hyperlink r:id="rId51" ref="G24"/>
    <hyperlink r:id="rId52" ref="H24"/>
    <hyperlink r:id="rId53" ref="I24"/>
    <hyperlink r:id="rId54" ref="J24"/>
    <hyperlink r:id="rId55" ref="K24"/>
    <hyperlink r:id="rId56" ref="L24"/>
    <hyperlink r:id="rId57" ref="M24"/>
    <hyperlink r:id="rId58" ref="N24"/>
    <hyperlink r:id="rId59" ref="O24"/>
    <hyperlink r:id="rId60" ref="P24"/>
    <hyperlink r:id="rId61" ref="Q24"/>
    <hyperlink r:id="rId62" ref="R24"/>
    <hyperlink r:id="rId63" ref="S24"/>
    <hyperlink r:id="rId64" ref="T24"/>
    <hyperlink r:id="rId65" ref="U24"/>
    <hyperlink r:id="rId66" ref="V24"/>
    <hyperlink r:id="rId67" ref="W24"/>
    <hyperlink r:id="rId68" ref="X24"/>
    <hyperlink r:id="rId69" ref="Y24"/>
    <hyperlink r:id="rId70" ref="D32"/>
    <hyperlink r:id="rId71" ref="G32"/>
    <hyperlink r:id="rId72" ref="H32"/>
    <hyperlink r:id="rId73" ref="I32"/>
    <hyperlink r:id="rId74" ref="J32"/>
    <hyperlink r:id="rId75" ref="K32"/>
    <hyperlink r:id="rId76" ref="L32"/>
    <hyperlink r:id="rId77" ref="M32"/>
    <hyperlink r:id="rId78" ref="N32"/>
    <hyperlink r:id="rId79" ref="O32"/>
    <hyperlink r:id="rId80" ref="P32"/>
    <hyperlink r:id="rId81" ref="Q32"/>
    <hyperlink r:id="rId82" ref="R32"/>
    <hyperlink r:id="rId83" ref="S32"/>
    <hyperlink r:id="rId84" ref="T32"/>
    <hyperlink r:id="rId85" ref="U32"/>
    <hyperlink r:id="rId86" ref="V32"/>
    <hyperlink r:id="rId87" ref="W32"/>
    <hyperlink r:id="rId88" ref="X32"/>
    <hyperlink r:id="rId89" ref="D40"/>
    <hyperlink r:id="rId90" ref="E40"/>
    <hyperlink r:id="rId91" ref="F40"/>
    <hyperlink r:id="rId92" ref="G40"/>
    <hyperlink r:id="rId93" ref="H40"/>
    <hyperlink r:id="rId94" ref="I40"/>
    <hyperlink r:id="rId95" ref="J40"/>
    <hyperlink r:id="rId96" ref="K40"/>
    <hyperlink r:id="rId97" ref="L40"/>
    <hyperlink r:id="rId98" ref="M40"/>
    <hyperlink r:id="rId99" ref="N40"/>
    <hyperlink r:id="rId100" ref="O40"/>
    <hyperlink r:id="rId101" ref="P40"/>
    <hyperlink r:id="rId102" ref="Q40"/>
    <hyperlink r:id="rId103" ref="R40"/>
    <hyperlink r:id="rId104" ref="S40"/>
    <hyperlink r:id="rId105" ref="T40"/>
    <hyperlink r:id="rId106" ref="U40"/>
    <hyperlink r:id="rId107" ref="V40"/>
    <hyperlink r:id="rId108" ref="C48"/>
    <hyperlink r:id="rId109" ref="D48"/>
    <hyperlink r:id="rId110" ref="E48"/>
    <hyperlink r:id="rId111" ref="F48"/>
    <hyperlink r:id="rId112" ref="G48"/>
    <hyperlink r:id="rId113" ref="H48"/>
    <hyperlink r:id="rId114" ref="I48"/>
    <hyperlink r:id="rId115" ref="J48"/>
    <hyperlink r:id="rId116" ref="K48"/>
    <hyperlink r:id="rId117" ref="L48"/>
    <hyperlink r:id="rId118" ref="M48"/>
    <hyperlink r:id="rId119" ref="N48"/>
    <hyperlink r:id="rId120" ref="O48"/>
    <hyperlink r:id="rId121" ref="P48"/>
    <hyperlink r:id="rId122" ref="Q48"/>
    <hyperlink r:id="rId123" ref="R48"/>
    <hyperlink r:id="rId124" ref="S48"/>
    <hyperlink r:id="rId125" ref="T48"/>
    <hyperlink r:id="rId126" ref="U48"/>
    <hyperlink r:id="rId127" ref="V48"/>
    <hyperlink r:id="rId128" ref="D56"/>
    <hyperlink r:id="rId129" ref="E56"/>
    <hyperlink r:id="rId130" ref="F56"/>
    <hyperlink r:id="rId131" ref="G56"/>
    <hyperlink r:id="rId132" ref="H56"/>
    <hyperlink r:id="rId133" ref="I56"/>
    <hyperlink r:id="rId134" ref="J56"/>
    <hyperlink r:id="rId135" ref="K56"/>
    <hyperlink r:id="rId136" ref="L56"/>
    <hyperlink r:id="rId137" ref="M56"/>
    <hyperlink r:id="rId138" ref="N56"/>
    <hyperlink r:id="rId139" ref="O56"/>
    <hyperlink r:id="rId140" ref="P56"/>
    <hyperlink r:id="rId141" ref="Q56"/>
    <hyperlink r:id="rId142" ref="R56"/>
    <hyperlink r:id="rId143" ref="S56"/>
    <hyperlink r:id="rId144" ref="T56"/>
    <hyperlink r:id="rId145" ref="U56"/>
    <hyperlink r:id="rId146" ref="C64"/>
    <hyperlink r:id="rId147" ref="D64"/>
    <hyperlink r:id="rId148" ref="E64"/>
    <hyperlink r:id="rId149" ref="F64"/>
    <hyperlink r:id="rId150" ref="G64"/>
    <hyperlink r:id="rId151" ref="H64"/>
    <hyperlink r:id="rId152" ref="I64"/>
    <hyperlink r:id="rId153" ref="J64"/>
    <hyperlink r:id="rId154" ref="K64"/>
    <hyperlink r:id="rId155" ref="M64"/>
    <hyperlink r:id="rId156" ref="N64"/>
    <hyperlink r:id="rId157" ref="O64"/>
    <hyperlink r:id="rId158" ref="P64"/>
    <hyperlink r:id="rId159" ref="Q64"/>
    <hyperlink r:id="rId160" ref="R64"/>
    <hyperlink r:id="rId161" ref="S64"/>
    <hyperlink r:id="rId162" ref="T64"/>
    <hyperlink r:id="rId163" ref="U64"/>
    <hyperlink r:id="rId164" ref="V64"/>
    <hyperlink r:id="rId165" ref="C72"/>
    <hyperlink r:id="rId166" ref="D72"/>
    <hyperlink r:id="rId167" ref="E72"/>
    <hyperlink r:id="rId168" ref="F72"/>
    <hyperlink r:id="rId169" ref="G72"/>
    <hyperlink r:id="rId170" ref="H72"/>
    <hyperlink r:id="rId171" ref="I72"/>
    <hyperlink r:id="rId172" ref="J72"/>
    <hyperlink r:id="rId173" ref="L72"/>
    <hyperlink r:id="rId174" ref="M72"/>
    <hyperlink r:id="rId175" ref="N72"/>
    <hyperlink r:id="rId176" ref="O72"/>
    <hyperlink r:id="rId177" ref="P72"/>
    <hyperlink r:id="rId178" ref="Q72"/>
    <hyperlink r:id="rId179" ref="R72"/>
    <hyperlink r:id="rId180" ref="S72"/>
    <hyperlink r:id="rId181" ref="T72"/>
    <hyperlink r:id="rId182" ref="U72"/>
    <hyperlink r:id="rId183" ref="D80"/>
    <hyperlink r:id="rId184" ref="E80"/>
    <hyperlink r:id="rId185" ref="F80"/>
    <hyperlink r:id="rId186" ref="G80"/>
    <hyperlink r:id="rId187" ref="H80"/>
    <hyperlink r:id="rId188" ref="I80"/>
    <hyperlink r:id="rId189" ref="J80"/>
    <hyperlink r:id="rId190" ref="K80"/>
    <hyperlink r:id="rId191" ref="L80"/>
    <hyperlink r:id="rId192" ref="M80"/>
    <hyperlink r:id="rId193" ref="N80"/>
    <hyperlink r:id="rId194" ref="O80"/>
    <hyperlink r:id="rId195" ref="P80"/>
    <hyperlink r:id="rId196" ref="Q80"/>
    <hyperlink r:id="rId197" ref="R80"/>
    <hyperlink r:id="rId198" ref="S80"/>
    <hyperlink r:id="rId199" ref="T80"/>
    <hyperlink r:id="rId200" ref="U80"/>
    <hyperlink r:id="rId201" ref="V80"/>
    <hyperlink r:id="rId202" ref="W80"/>
    <hyperlink r:id="rId203" ref="C88"/>
    <hyperlink r:id="rId204" ref="D88"/>
    <hyperlink r:id="rId205" ref="E88"/>
    <hyperlink r:id="rId206" ref="F88"/>
    <hyperlink r:id="rId207" ref="G88"/>
    <hyperlink r:id="rId208" ref="H88"/>
    <hyperlink r:id="rId209" ref="I88"/>
    <hyperlink r:id="rId210" ref="J88"/>
    <hyperlink r:id="rId211" ref="K88"/>
    <hyperlink r:id="rId212" ref="L88"/>
    <hyperlink r:id="rId213" ref="M88"/>
    <hyperlink r:id="rId214" ref="N88"/>
    <hyperlink r:id="rId215" ref="O88"/>
    <hyperlink r:id="rId216" ref="P88"/>
    <hyperlink r:id="rId217" ref="Q88"/>
    <hyperlink r:id="rId218" ref="R88"/>
    <hyperlink r:id="rId219" ref="S88"/>
    <hyperlink r:id="rId220" ref="C96"/>
    <hyperlink r:id="rId221" ref="D96"/>
    <hyperlink r:id="rId222" ref="E96"/>
    <hyperlink r:id="rId223" ref="F96"/>
    <hyperlink r:id="rId224" ref="G96"/>
    <hyperlink r:id="rId225" ref="H96"/>
    <hyperlink r:id="rId226" ref="I96"/>
    <hyperlink r:id="rId227" ref="J96"/>
    <hyperlink r:id="rId228" ref="K96"/>
    <hyperlink r:id="rId229" ref="L96"/>
    <hyperlink r:id="rId230" ref="M96"/>
    <hyperlink r:id="rId231" ref="N96"/>
    <hyperlink r:id="rId232" ref="O96"/>
    <hyperlink r:id="rId233" ref="P96"/>
    <hyperlink r:id="rId234" ref="Q96"/>
    <hyperlink r:id="rId235" ref="R96"/>
    <hyperlink r:id="rId236" ref="S96"/>
    <hyperlink r:id="rId237" ref="T96"/>
    <hyperlink r:id="rId238" ref="U96"/>
    <hyperlink r:id="rId239" ref="V96"/>
    <hyperlink r:id="rId240" ref="W96"/>
    <hyperlink r:id="rId241" ref="X96"/>
    <hyperlink r:id="rId242" ref="Y96"/>
  </hyperlinks>
  <drawing r:id="rId24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1" defaultRowHeight="15.0"/>
  <cols>
    <col customWidth="1" min="1" max="1" width="7.9"/>
    <col customWidth="1" min="2" max="2" width="7.5"/>
    <col customWidth="1" min="3" max="22" width="21.1"/>
    <col customWidth="1" min="23" max="23" width="21.0"/>
    <col customWidth="1" min="24" max="26" width="6.9"/>
  </cols>
  <sheetData>
    <row r="1">
      <c r="A1" s="1" t="s">
        <v>2127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5" t="s">
        <v>2</v>
      </c>
      <c r="B2" s="5" t="s">
        <v>3</v>
      </c>
      <c r="C2" s="5" t="s">
        <v>4</v>
      </c>
      <c r="D2" s="6" t="s">
        <v>5</v>
      </c>
      <c r="E2" s="7" t="s">
        <v>6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7" t="s">
        <v>15</v>
      </c>
      <c r="N2" s="7" t="s">
        <v>16</v>
      </c>
      <c r="O2" s="7" t="s">
        <v>17</v>
      </c>
      <c r="P2" s="7" t="s">
        <v>18</v>
      </c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299" t="s">
        <v>2128</v>
      </c>
      <c r="B3" s="13" t="s">
        <v>30</v>
      </c>
      <c r="C3" s="204" t="s">
        <v>2130</v>
      </c>
      <c r="D3" s="300" t="s">
        <v>2131</v>
      </c>
      <c r="E3" s="300" t="s">
        <v>2131</v>
      </c>
      <c r="F3" s="300" t="s">
        <v>2131</v>
      </c>
      <c r="G3" s="300" t="s">
        <v>2131</v>
      </c>
      <c r="H3" s="15"/>
      <c r="I3" s="17"/>
      <c r="J3" s="15"/>
      <c r="K3" s="17"/>
      <c r="L3" s="15"/>
      <c r="M3" s="17"/>
      <c r="N3" s="15"/>
      <c r="O3" s="15"/>
      <c r="P3" s="23"/>
      <c r="Q3" s="302"/>
      <c r="R3" s="302"/>
      <c r="S3" s="302"/>
      <c r="T3" s="302"/>
      <c r="U3" s="302"/>
      <c r="V3" s="302"/>
      <c r="W3" s="3"/>
      <c r="X3" s="3"/>
      <c r="Y3" s="3"/>
      <c r="Z3" s="3"/>
    </row>
    <row r="4" ht="30.0" customHeight="1">
      <c r="A4" s="27"/>
      <c r="B4" s="29"/>
      <c r="C4" s="303" t="s">
        <v>2133</v>
      </c>
      <c r="D4" s="171" t="s">
        <v>2134</v>
      </c>
      <c r="E4" s="276" t="s">
        <v>2135</v>
      </c>
      <c r="F4" s="171" t="s">
        <v>2136</v>
      </c>
      <c r="G4" s="304" t="s">
        <v>2137</v>
      </c>
      <c r="H4" s="171" t="s">
        <v>2138</v>
      </c>
      <c r="I4" s="171" t="s">
        <v>2139</v>
      </c>
      <c r="J4" s="171" t="s">
        <v>2140</v>
      </c>
      <c r="K4" s="171" t="s">
        <v>2141</v>
      </c>
      <c r="L4" s="171" t="s">
        <v>2142</v>
      </c>
      <c r="M4" s="171" t="s">
        <v>2143</v>
      </c>
      <c r="N4" s="171" t="s">
        <v>2144</v>
      </c>
      <c r="O4" s="171" t="s">
        <v>2145</v>
      </c>
      <c r="P4" s="171" t="s">
        <v>2146</v>
      </c>
      <c r="Q4" s="304"/>
      <c r="R4" s="304"/>
      <c r="S4" s="304"/>
      <c r="T4" s="304"/>
      <c r="U4" s="304"/>
      <c r="V4" s="304"/>
      <c r="W4" s="194"/>
      <c r="X4" s="3"/>
      <c r="Y4" s="3"/>
      <c r="Z4" s="3"/>
    </row>
    <row r="5">
      <c r="A5" s="27"/>
      <c r="B5" s="29"/>
      <c r="C5" s="62" t="s">
        <v>2147</v>
      </c>
      <c r="D5" s="62" t="s">
        <v>2147</v>
      </c>
      <c r="E5" s="62" t="s">
        <v>2147</v>
      </c>
      <c r="F5" s="62" t="s">
        <v>2147</v>
      </c>
      <c r="G5" s="62" t="s">
        <v>2147</v>
      </c>
      <c r="H5" s="75" t="s">
        <v>2151</v>
      </c>
      <c r="I5" s="204" t="s">
        <v>2153</v>
      </c>
      <c r="J5" s="75" t="s">
        <v>2153</v>
      </c>
      <c r="K5" s="204" t="s">
        <v>2156</v>
      </c>
      <c r="L5" s="75" t="s">
        <v>2158</v>
      </c>
      <c r="M5" s="75" t="s">
        <v>2158</v>
      </c>
      <c r="N5" s="75" t="s">
        <v>2158</v>
      </c>
      <c r="O5" s="75" t="s">
        <v>2161</v>
      </c>
      <c r="P5" s="75" t="s">
        <v>2161</v>
      </c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27"/>
      <c r="B6" s="29"/>
      <c r="C6" s="62" t="s">
        <v>2167</v>
      </c>
      <c r="D6" s="62" t="s">
        <v>2167</v>
      </c>
      <c r="E6" s="62" t="s">
        <v>2167</v>
      </c>
      <c r="F6" s="62" t="s">
        <v>2167</v>
      </c>
      <c r="G6" s="62" t="s">
        <v>2167</v>
      </c>
      <c r="H6" s="75" t="s">
        <v>2170</v>
      </c>
      <c r="I6" s="204" t="s">
        <v>2171</v>
      </c>
      <c r="J6" s="75" t="s">
        <v>2171</v>
      </c>
      <c r="K6" s="204" t="s">
        <v>2173</v>
      </c>
      <c r="L6" s="75" t="s">
        <v>2171</v>
      </c>
      <c r="M6" s="75" t="s">
        <v>2171</v>
      </c>
      <c r="N6" s="75" t="s">
        <v>2171</v>
      </c>
      <c r="O6" s="75" t="s">
        <v>472</v>
      </c>
      <c r="P6" s="75" t="s">
        <v>472</v>
      </c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27"/>
      <c r="B7" s="29"/>
      <c r="C7" s="62" t="s">
        <v>106</v>
      </c>
      <c r="D7" s="62" t="s">
        <v>106</v>
      </c>
      <c r="E7" s="62" t="s">
        <v>106</v>
      </c>
      <c r="F7" s="62" t="s">
        <v>106</v>
      </c>
      <c r="G7" s="62" t="s">
        <v>106</v>
      </c>
      <c r="H7" s="75" t="s">
        <v>105</v>
      </c>
      <c r="I7" s="204" t="s">
        <v>105</v>
      </c>
      <c r="J7" s="75" t="s">
        <v>105</v>
      </c>
      <c r="K7" s="204" t="s">
        <v>105</v>
      </c>
      <c r="L7" s="75" t="s">
        <v>105</v>
      </c>
      <c r="M7" s="75" t="s">
        <v>105</v>
      </c>
      <c r="N7" s="75" t="s">
        <v>105</v>
      </c>
      <c r="O7" s="75" t="s">
        <v>105</v>
      </c>
      <c r="P7" s="75" t="s">
        <v>105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27"/>
      <c r="B8" s="29"/>
      <c r="C8" s="67" t="s">
        <v>2176</v>
      </c>
      <c r="D8" s="69" t="s">
        <v>2178</v>
      </c>
      <c r="E8" s="67" t="s">
        <v>2179</v>
      </c>
      <c r="F8" s="69" t="s">
        <v>2180</v>
      </c>
      <c r="G8" s="67" t="s">
        <v>2181</v>
      </c>
      <c r="H8" s="69" t="s">
        <v>2182</v>
      </c>
      <c r="I8" s="67" t="s">
        <v>2183</v>
      </c>
      <c r="J8" s="69" t="s">
        <v>2184</v>
      </c>
      <c r="K8" s="67" t="s">
        <v>2185</v>
      </c>
      <c r="L8" s="69" t="s">
        <v>2187</v>
      </c>
      <c r="M8" s="67" t="s">
        <v>2189</v>
      </c>
      <c r="N8" s="69" t="s">
        <v>2190</v>
      </c>
      <c r="O8" s="69" t="s">
        <v>2192</v>
      </c>
      <c r="P8" s="78" t="s">
        <v>2194</v>
      </c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27"/>
      <c r="B9" s="29"/>
      <c r="C9" s="308" t="s">
        <v>31</v>
      </c>
      <c r="D9" s="309" t="s">
        <v>31</v>
      </c>
      <c r="E9" s="310" t="s">
        <v>31</v>
      </c>
      <c r="F9" s="94" t="s">
        <v>31</v>
      </c>
      <c r="G9" s="310" t="s">
        <v>31</v>
      </c>
      <c r="H9" s="152" t="s">
        <v>31</v>
      </c>
      <c r="I9" s="98" t="str">
        <f>HYPERLINK("https://drive.google.com/folderview?id=0B5wB609c0oF0S0paa3lydjR3Ync&amp;usp=sharing","ดาวน์โหลดเอกสารประกอบ")</f>
        <v>ดาวน์โหลดเอกสารประกอบ</v>
      </c>
      <c r="J9" s="98" t="str">
        <f>HYPERLINK("https://drive.google.com/folderview?id=0B5wB609c0oF0QW1uY1RkLTZ4ZFU&amp;usp=sharing","ดาวน์โหลดเอกสารประกอบ")</f>
        <v>ดาวน์โหลดเอกสารประกอบ</v>
      </c>
      <c r="K9" s="152" t="s">
        <v>195</v>
      </c>
      <c r="L9" s="98" t="str">
        <f>HYPERLINK("https://drive.google.com/folderview?id=0B5wB609c0oF0U2pNdjRfZXBfMTQ&amp;usp=sharing","ดาวน์โหลดเอกสารประกอบ")</f>
        <v>ดาวน์โหลดเอกสารประกอบ</v>
      </c>
      <c r="M9" s="98" t="str">
        <f>HYPERLINK("https://drive.google.com/folderview?id=0B5wB609c0oF0aUV4ZTZFNUtJTms&amp;usp=sharing","ดาวน์โหลดเอกสารประกอบ")</f>
        <v>ดาวน์โหลดเอกสารประกอบ</v>
      </c>
      <c r="N9" s="98" t="str">
        <f>HYPERLINK("https://drive.google.com/folderview?id=0B21eH2QQLHcVelFYckRCaTQyS2c&amp;usp=sharing","ดาวน์โหลดเอกสารประกอบ")</f>
        <v>ดาวน์โหลดเอกสารประกอบ</v>
      </c>
      <c r="O9" s="152" t="s">
        <v>195</v>
      </c>
      <c r="P9" s="152" t="s">
        <v>195</v>
      </c>
      <c r="Q9" s="204"/>
      <c r="R9" s="204"/>
      <c r="S9" s="204"/>
      <c r="T9" s="204"/>
      <c r="U9" s="204"/>
      <c r="V9" s="204"/>
      <c r="W9" s="3"/>
      <c r="X9" s="3"/>
      <c r="Y9" s="3"/>
      <c r="Z9" s="3"/>
    </row>
    <row r="10">
      <c r="A10" s="27"/>
      <c r="B10" s="29"/>
      <c r="C10" s="16" t="s">
        <v>19</v>
      </c>
      <c r="D10" s="16" t="s">
        <v>20</v>
      </c>
      <c r="E10" s="16" t="s">
        <v>21</v>
      </c>
      <c r="F10" s="16" t="s">
        <v>22</v>
      </c>
      <c r="G10" s="16" t="s">
        <v>23</v>
      </c>
      <c r="H10" s="16" t="s">
        <v>24</v>
      </c>
      <c r="I10" s="16" t="s">
        <v>25</v>
      </c>
      <c r="J10" s="16" t="s">
        <v>26</v>
      </c>
      <c r="K10" s="16" t="s">
        <v>27</v>
      </c>
      <c r="L10" s="16" t="s">
        <v>28</v>
      </c>
      <c r="M10" s="16" t="s">
        <v>358</v>
      </c>
      <c r="N10" s="16" t="s">
        <v>360</v>
      </c>
      <c r="O10" s="16" t="s">
        <v>2215</v>
      </c>
      <c r="P10" s="16" t="s">
        <v>2216</v>
      </c>
      <c r="Q10" s="16" t="s">
        <v>2217</v>
      </c>
      <c r="R10" s="204"/>
      <c r="S10" s="204"/>
      <c r="T10" s="204"/>
      <c r="U10" s="204"/>
      <c r="V10" s="204"/>
      <c r="W10" s="3"/>
      <c r="X10" s="3"/>
      <c r="Y10" s="3"/>
      <c r="Z10" s="3"/>
    </row>
    <row r="11">
      <c r="A11" s="27"/>
      <c r="B11" s="29"/>
      <c r="C11" s="311" t="s">
        <v>2218</v>
      </c>
      <c r="D11" s="311" t="s">
        <v>2218</v>
      </c>
      <c r="E11" s="311" t="s">
        <v>2218</v>
      </c>
      <c r="F11" s="311" t="s">
        <v>2218</v>
      </c>
      <c r="G11" s="311" t="s">
        <v>2218</v>
      </c>
      <c r="H11" s="311" t="s">
        <v>2218</v>
      </c>
      <c r="I11" s="311" t="s">
        <v>2218</v>
      </c>
      <c r="J11" s="311" t="s">
        <v>2218</v>
      </c>
      <c r="K11" s="311" t="s">
        <v>2218</v>
      </c>
      <c r="L11" s="311" t="s">
        <v>2218</v>
      </c>
      <c r="M11" s="311" t="s">
        <v>2218</v>
      </c>
      <c r="N11" s="311" t="s">
        <v>2218</v>
      </c>
      <c r="O11" s="311" t="s">
        <v>2218</v>
      </c>
      <c r="P11" s="311" t="s">
        <v>2218</v>
      </c>
      <c r="Q11" s="311" t="s">
        <v>2218</v>
      </c>
      <c r="R11" s="204"/>
      <c r="S11" s="204"/>
      <c r="T11" s="204"/>
      <c r="U11" s="204"/>
      <c r="V11" s="204"/>
      <c r="W11" s="3"/>
      <c r="X11" s="3"/>
      <c r="Y11" s="3"/>
      <c r="Z11" s="3"/>
    </row>
    <row r="12" ht="32.25" customHeight="1">
      <c r="A12" s="27"/>
      <c r="B12" s="29"/>
      <c r="C12" s="312" t="s">
        <v>2219</v>
      </c>
      <c r="D12" s="312" t="s">
        <v>2220</v>
      </c>
      <c r="E12" s="312" t="s">
        <v>2221</v>
      </c>
      <c r="F12" s="312" t="s">
        <v>2222</v>
      </c>
      <c r="G12" s="312" t="s">
        <v>2223</v>
      </c>
      <c r="H12" s="312" t="s">
        <v>2224</v>
      </c>
      <c r="I12" s="312" t="s">
        <v>2225</v>
      </c>
      <c r="J12" s="312" t="s">
        <v>2226</v>
      </c>
      <c r="K12" s="312" t="s">
        <v>2227</v>
      </c>
      <c r="L12" s="312" t="s">
        <v>2228</v>
      </c>
      <c r="M12" s="312" t="s">
        <v>2229</v>
      </c>
      <c r="N12" s="312" t="s">
        <v>2230</v>
      </c>
      <c r="O12" s="312" t="s">
        <v>2231</v>
      </c>
      <c r="P12" s="312" t="s">
        <v>2232</v>
      </c>
      <c r="Q12" s="312" t="s">
        <v>2233</v>
      </c>
      <c r="R12" s="204"/>
      <c r="S12" s="204"/>
      <c r="T12" s="204"/>
      <c r="U12" s="204"/>
      <c r="V12" s="204"/>
      <c r="W12" s="3"/>
      <c r="X12" s="3"/>
      <c r="Y12" s="3"/>
      <c r="Z12" s="3"/>
    </row>
    <row r="13">
      <c r="A13" s="27"/>
      <c r="B13" s="29"/>
      <c r="C13" s="313" t="s">
        <v>2234</v>
      </c>
      <c r="D13" s="313" t="s">
        <v>2234</v>
      </c>
      <c r="E13" s="313" t="s">
        <v>2234</v>
      </c>
      <c r="F13" s="313" t="s">
        <v>2234</v>
      </c>
      <c r="G13" s="313" t="s">
        <v>2234</v>
      </c>
      <c r="H13" s="313" t="s">
        <v>2234</v>
      </c>
      <c r="I13" s="313" t="s">
        <v>2234</v>
      </c>
      <c r="J13" s="313" t="s">
        <v>2234</v>
      </c>
      <c r="K13" s="313" t="s">
        <v>2234</v>
      </c>
      <c r="L13" s="313" t="s">
        <v>2234</v>
      </c>
      <c r="M13" s="313" t="s">
        <v>2234</v>
      </c>
      <c r="N13" s="313" t="s">
        <v>2234</v>
      </c>
      <c r="O13" s="313" t="s">
        <v>2234</v>
      </c>
      <c r="P13" s="313" t="s">
        <v>2234</v>
      </c>
      <c r="Q13" s="313" t="s">
        <v>2234</v>
      </c>
      <c r="R13" s="204"/>
      <c r="S13" s="204"/>
      <c r="T13" s="204"/>
      <c r="U13" s="204"/>
      <c r="V13" s="204"/>
      <c r="W13" s="3"/>
      <c r="X13" s="3"/>
      <c r="Y13" s="3"/>
      <c r="Z13" s="3"/>
    </row>
    <row r="14">
      <c r="A14" s="27"/>
      <c r="B14" s="29"/>
      <c r="C14" s="314" t="s">
        <v>2235</v>
      </c>
      <c r="D14" s="314" t="s">
        <v>2235</v>
      </c>
      <c r="E14" s="314" t="s">
        <v>2235</v>
      </c>
      <c r="F14" s="314" t="s">
        <v>2235</v>
      </c>
      <c r="G14" s="314" t="s">
        <v>2235</v>
      </c>
      <c r="H14" s="314" t="s">
        <v>2235</v>
      </c>
      <c r="I14" s="314" t="s">
        <v>2235</v>
      </c>
      <c r="J14" s="314" t="s">
        <v>2235</v>
      </c>
      <c r="K14" s="314" t="s">
        <v>2235</v>
      </c>
      <c r="L14" s="314" t="s">
        <v>2235</v>
      </c>
      <c r="M14" s="314" t="s">
        <v>2235</v>
      </c>
      <c r="N14" s="314" t="s">
        <v>2235</v>
      </c>
      <c r="O14" s="314" t="s">
        <v>2235</v>
      </c>
      <c r="P14" s="314" t="s">
        <v>2235</v>
      </c>
      <c r="Q14" s="314" t="s">
        <v>2235</v>
      </c>
      <c r="R14" s="204"/>
      <c r="S14" s="204"/>
      <c r="T14" s="204"/>
      <c r="U14" s="204"/>
      <c r="V14" s="204"/>
      <c r="W14" s="3"/>
      <c r="X14" s="3"/>
      <c r="Y14" s="3"/>
      <c r="Z14" s="3"/>
    </row>
    <row r="15">
      <c r="A15" s="27"/>
      <c r="B15" s="29"/>
      <c r="C15" s="314" t="s">
        <v>1107</v>
      </c>
      <c r="D15" s="314" t="s">
        <v>1107</v>
      </c>
      <c r="E15" s="314" t="s">
        <v>1107</v>
      </c>
      <c r="F15" s="314" t="s">
        <v>1107</v>
      </c>
      <c r="G15" s="314" t="s">
        <v>1107</v>
      </c>
      <c r="H15" s="314" t="s">
        <v>1107</v>
      </c>
      <c r="I15" s="314" t="s">
        <v>1107</v>
      </c>
      <c r="J15" s="314" t="s">
        <v>1107</v>
      </c>
      <c r="K15" s="314" t="s">
        <v>1107</v>
      </c>
      <c r="L15" s="314" t="s">
        <v>1107</v>
      </c>
      <c r="M15" s="314" t="s">
        <v>1107</v>
      </c>
      <c r="N15" s="314" t="s">
        <v>1107</v>
      </c>
      <c r="O15" s="314" t="s">
        <v>1107</v>
      </c>
      <c r="P15" s="314" t="s">
        <v>1107</v>
      </c>
      <c r="Q15" s="314" t="s">
        <v>1107</v>
      </c>
      <c r="R15" s="204"/>
      <c r="S15" s="204"/>
      <c r="T15" s="204"/>
      <c r="U15" s="204"/>
      <c r="V15" s="204"/>
      <c r="W15" s="3"/>
      <c r="X15" s="3"/>
      <c r="Y15" s="3"/>
      <c r="Z15" s="3"/>
    </row>
    <row r="16">
      <c r="A16" s="27"/>
      <c r="B16" s="29"/>
      <c r="C16" s="98" t="s">
        <v>2236</v>
      </c>
      <c r="D16" s="98" t="s">
        <v>2237</v>
      </c>
      <c r="E16" s="246" t="s">
        <v>2239</v>
      </c>
      <c r="F16" s="246" t="s">
        <v>2240</v>
      </c>
      <c r="G16" s="246" t="s">
        <v>2241</v>
      </c>
      <c r="H16" s="246" t="s">
        <v>2242</v>
      </c>
      <c r="I16" s="246" t="s">
        <v>2243</v>
      </c>
      <c r="J16" s="246" t="s">
        <v>2244</v>
      </c>
      <c r="K16" s="246" t="s">
        <v>2245</v>
      </c>
      <c r="L16" s="246" t="s">
        <v>2246</v>
      </c>
      <c r="M16" s="246" t="s">
        <v>2247</v>
      </c>
      <c r="N16" s="246" t="s">
        <v>2251</v>
      </c>
      <c r="O16" s="246" t="s">
        <v>2255</v>
      </c>
      <c r="P16" s="246" t="s">
        <v>2264</v>
      </c>
      <c r="Q16" s="246" t="s">
        <v>2271</v>
      </c>
      <c r="R16" s="204"/>
      <c r="S16" s="204"/>
      <c r="T16" s="204"/>
      <c r="U16" s="204"/>
      <c r="V16" s="204"/>
      <c r="W16" s="3"/>
      <c r="X16" s="3"/>
      <c r="Y16" s="3"/>
      <c r="Z16" s="3"/>
    </row>
    <row r="17">
      <c r="A17" s="27"/>
      <c r="B17" s="29"/>
      <c r="C17" s="152" t="s">
        <v>195</v>
      </c>
      <c r="D17" s="152" t="s">
        <v>195</v>
      </c>
      <c r="E17" s="152" t="s">
        <v>195</v>
      </c>
      <c r="F17" s="152" t="s">
        <v>195</v>
      </c>
      <c r="G17" s="152" t="s">
        <v>195</v>
      </c>
      <c r="H17" s="152" t="s">
        <v>195</v>
      </c>
      <c r="I17" s="152" t="s">
        <v>195</v>
      </c>
      <c r="J17" s="152" t="s">
        <v>195</v>
      </c>
      <c r="K17" s="152" t="s">
        <v>195</v>
      </c>
      <c r="L17" s="152" t="s">
        <v>195</v>
      </c>
      <c r="M17" s="152" t="s">
        <v>195</v>
      </c>
      <c r="N17" s="152" t="s">
        <v>195</v>
      </c>
      <c r="O17" s="152" t="s">
        <v>195</v>
      </c>
      <c r="P17" s="152" t="s">
        <v>195</v>
      </c>
      <c r="Q17" s="152" t="s">
        <v>195</v>
      </c>
      <c r="R17" s="204"/>
      <c r="S17" s="204"/>
      <c r="T17" s="204"/>
      <c r="U17" s="204"/>
      <c r="V17" s="204"/>
      <c r="W17" s="3"/>
      <c r="X17" s="3"/>
      <c r="Y17" s="3"/>
      <c r="Z17" s="3"/>
    </row>
    <row r="18">
      <c r="A18" s="27"/>
      <c r="B18" s="29"/>
      <c r="C18" s="16" t="s">
        <v>2281</v>
      </c>
      <c r="D18" s="16" t="s">
        <v>2282</v>
      </c>
      <c r="E18" s="16" t="s">
        <v>2283</v>
      </c>
      <c r="F18" s="16" t="s">
        <v>2284</v>
      </c>
      <c r="G18" s="16" t="s">
        <v>2285</v>
      </c>
      <c r="H18" s="16" t="s">
        <v>2287</v>
      </c>
      <c r="I18" s="16" t="s">
        <v>2288</v>
      </c>
      <c r="J18" s="16" t="s">
        <v>2289</v>
      </c>
      <c r="K18" s="16" t="s">
        <v>2290</v>
      </c>
      <c r="L18" s="16" t="s">
        <v>2291</v>
      </c>
      <c r="M18" s="16" t="s">
        <v>2292</v>
      </c>
      <c r="N18" s="16" t="s">
        <v>2293</v>
      </c>
      <c r="O18" s="16" t="s">
        <v>2294</v>
      </c>
      <c r="P18" s="16" t="s">
        <v>2295</v>
      </c>
      <c r="Q18" s="16" t="s">
        <v>2296</v>
      </c>
      <c r="R18" s="204"/>
      <c r="S18" s="204"/>
      <c r="T18" s="204"/>
      <c r="U18" s="204"/>
      <c r="V18" s="204"/>
      <c r="W18" s="3"/>
      <c r="X18" s="3"/>
      <c r="Y18" s="3"/>
      <c r="Z18" s="3"/>
    </row>
    <row r="19">
      <c r="A19" s="27"/>
      <c r="B19" s="29"/>
      <c r="C19" s="311" t="s">
        <v>2218</v>
      </c>
      <c r="D19" s="311" t="s">
        <v>2218</v>
      </c>
      <c r="E19" s="311" t="s">
        <v>2218</v>
      </c>
      <c r="F19" s="311" t="s">
        <v>2218</v>
      </c>
      <c r="G19" s="311" t="s">
        <v>2218</v>
      </c>
      <c r="H19" s="311" t="s">
        <v>2218</v>
      </c>
      <c r="I19" s="311" t="s">
        <v>2218</v>
      </c>
      <c r="J19" s="311" t="s">
        <v>2218</v>
      </c>
      <c r="K19" s="311" t="s">
        <v>2218</v>
      </c>
      <c r="L19" s="311" t="s">
        <v>2218</v>
      </c>
      <c r="M19" s="311" t="s">
        <v>2218</v>
      </c>
      <c r="N19" s="311" t="s">
        <v>2298</v>
      </c>
      <c r="O19" s="311" t="s">
        <v>2299</v>
      </c>
      <c r="P19" s="311" t="s">
        <v>2298</v>
      </c>
      <c r="Q19" s="311" t="s">
        <v>2218</v>
      </c>
      <c r="R19" s="204"/>
      <c r="S19" s="204"/>
      <c r="T19" s="204"/>
      <c r="U19" s="204"/>
      <c r="V19" s="204"/>
      <c r="W19" s="3"/>
      <c r="X19" s="3"/>
      <c r="Y19" s="3"/>
      <c r="Z19" s="3"/>
    </row>
    <row r="20" ht="31.5" customHeight="1">
      <c r="A20" s="27"/>
      <c r="B20" s="29"/>
      <c r="C20" s="312" t="s">
        <v>2300</v>
      </c>
      <c r="D20" s="312" t="s">
        <v>2301</v>
      </c>
      <c r="E20" s="312" t="s">
        <v>2302</v>
      </c>
      <c r="F20" s="312" t="s">
        <v>2303</v>
      </c>
      <c r="G20" s="312" t="s">
        <v>2304</v>
      </c>
      <c r="H20" s="312" t="s">
        <v>2305</v>
      </c>
      <c r="I20" s="312" t="s">
        <v>2306</v>
      </c>
      <c r="J20" s="312" t="s">
        <v>2307</v>
      </c>
      <c r="K20" s="312" t="s">
        <v>2308</v>
      </c>
      <c r="L20" s="312" t="s">
        <v>2309</v>
      </c>
      <c r="M20" s="312" t="s">
        <v>2310</v>
      </c>
      <c r="N20" s="312" t="s">
        <v>2311</v>
      </c>
      <c r="O20" s="312" t="s">
        <v>2312</v>
      </c>
      <c r="P20" s="312" t="s">
        <v>2313</v>
      </c>
      <c r="Q20" s="312" t="s">
        <v>2314</v>
      </c>
      <c r="R20" s="204"/>
      <c r="S20" s="204"/>
      <c r="T20" s="204"/>
      <c r="U20" s="204"/>
      <c r="V20" s="204"/>
      <c r="W20" s="3"/>
      <c r="X20" s="3"/>
      <c r="Y20" s="3"/>
      <c r="Z20" s="3"/>
    </row>
    <row r="21">
      <c r="A21" s="27"/>
      <c r="B21" s="29"/>
      <c r="C21" s="313" t="s">
        <v>2234</v>
      </c>
      <c r="D21" s="313" t="s">
        <v>2234</v>
      </c>
      <c r="E21" s="313" t="s">
        <v>2234</v>
      </c>
      <c r="F21" s="313" t="s">
        <v>2234</v>
      </c>
      <c r="G21" s="313" t="s">
        <v>2234</v>
      </c>
      <c r="H21" s="313" t="s">
        <v>2234</v>
      </c>
      <c r="I21" s="313" t="s">
        <v>2234</v>
      </c>
      <c r="J21" s="313" t="s">
        <v>2234</v>
      </c>
      <c r="K21" s="313" t="s">
        <v>2234</v>
      </c>
      <c r="L21" s="313" t="s">
        <v>2234</v>
      </c>
      <c r="M21" s="313" t="s">
        <v>2234</v>
      </c>
      <c r="N21" s="313" t="s">
        <v>2234</v>
      </c>
      <c r="O21" s="313" t="s">
        <v>2234</v>
      </c>
      <c r="P21" s="313" t="s">
        <v>2234</v>
      </c>
      <c r="Q21" s="313" t="s">
        <v>2234</v>
      </c>
      <c r="R21" s="204"/>
      <c r="S21" s="204"/>
      <c r="T21" s="204"/>
      <c r="U21" s="204"/>
      <c r="V21" s="204"/>
      <c r="W21" s="3"/>
      <c r="X21" s="3"/>
      <c r="Y21" s="3"/>
      <c r="Z21" s="3"/>
    </row>
    <row r="22">
      <c r="A22" s="27"/>
      <c r="B22" s="29"/>
      <c r="C22" s="314" t="s">
        <v>2235</v>
      </c>
      <c r="D22" s="314" t="s">
        <v>2235</v>
      </c>
      <c r="E22" s="314" t="s">
        <v>2235</v>
      </c>
      <c r="F22" s="314" t="s">
        <v>2235</v>
      </c>
      <c r="G22" s="314" t="s">
        <v>2235</v>
      </c>
      <c r="H22" s="314" t="s">
        <v>2235</v>
      </c>
      <c r="I22" s="314" t="s">
        <v>2235</v>
      </c>
      <c r="J22" s="314" t="s">
        <v>2235</v>
      </c>
      <c r="K22" s="314" t="s">
        <v>2235</v>
      </c>
      <c r="L22" s="314" t="s">
        <v>2235</v>
      </c>
      <c r="M22" s="314" t="s">
        <v>2235</v>
      </c>
      <c r="N22" s="314" t="s">
        <v>2235</v>
      </c>
      <c r="O22" s="314" t="s">
        <v>2235</v>
      </c>
      <c r="P22" s="314" t="s">
        <v>2235</v>
      </c>
      <c r="Q22" s="314" t="s">
        <v>2235</v>
      </c>
      <c r="R22" s="204"/>
      <c r="S22" s="204"/>
      <c r="T22" s="204"/>
      <c r="U22" s="204"/>
      <c r="V22" s="204"/>
      <c r="W22" s="3"/>
      <c r="X22" s="3"/>
      <c r="Y22" s="3"/>
      <c r="Z22" s="3"/>
    </row>
    <row r="23">
      <c r="A23" s="27"/>
      <c r="B23" s="29"/>
      <c r="C23" s="314" t="s">
        <v>1107</v>
      </c>
      <c r="D23" s="314" t="s">
        <v>1107</v>
      </c>
      <c r="E23" s="314" t="s">
        <v>1107</v>
      </c>
      <c r="F23" s="314" t="s">
        <v>1107</v>
      </c>
      <c r="G23" s="314" t="s">
        <v>1107</v>
      </c>
      <c r="H23" s="314" t="s">
        <v>1107</v>
      </c>
      <c r="I23" s="314" t="s">
        <v>1107</v>
      </c>
      <c r="J23" s="314" t="s">
        <v>1107</v>
      </c>
      <c r="K23" s="314" t="s">
        <v>1107</v>
      </c>
      <c r="L23" s="314" t="s">
        <v>1107</v>
      </c>
      <c r="M23" s="314" t="s">
        <v>1107</v>
      </c>
      <c r="N23" s="314" t="s">
        <v>1107</v>
      </c>
      <c r="O23" s="314" t="s">
        <v>1107</v>
      </c>
      <c r="P23" s="314" t="s">
        <v>1107</v>
      </c>
      <c r="Q23" s="314" t="s">
        <v>1107</v>
      </c>
      <c r="R23" s="204"/>
      <c r="S23" s="204"/>
      <c r="T23" s="204"/>
      <c r="U23" s="204"/>
      <c r="V23" s="204"/>
      <c r="W23" s="3"/>
      <c r="X23" s="3"/>
      <c r="Y23" s="3"/>
      <c r="Z23" s="3"/>
    </row>
    <row r="24">
      <c r="A24" s="27"/>
      <c r="B24" s="29"/>
      <c r="C24" s="246" t="s">
        <v>2321</v>
      </c>
      <c r="D24" s="246" t="s">
        <v>2323</v>
      </c>
      <c r="E24" s="246" t="s">
        <v>2325</v>
      </c>
      <c r="F24" s="246" t="s">
        <v>2327</v>
      </c>
      <c r="G24" s="246" t="s">
        <v>2329</v>
      </c>
      <c r="H24" s="246" t="s">
        <v>2331</v>
      </c>
      <c r="I24" s="246" t="s">
        <v>2333</v>
      </c>
      <c r="J24" s="317" t="s">
        <v>2335</v>
      </c>
      <c r="K24" s="246" t="s">
        <v>2338</v>
      </c>
      <c r="L24" s="246" t="s">
        <v>2340</v>
      </c>
      <c r="M24" s="246" t="s">
        <v>2341</v>
      </c>
      <c r="N24" s="246" t="s">
        <v>2343</v>
      </c>
      <c r="O24" s="246" t="s">
        <v>2344</v>
      </c>
      <c r="P24" s="318" t="s">
        <v>2346</v>
      </c>
      <c r="Q24" s="246" t="s">
        <v>2349</v>
      </c>
      <c r="R24" s="204"/>
      <c r="S24" s="204"/>
      <c r="T24" s="204"/>
      <c r="U24" s="204"/>
      <c r="V24" s="204"/>
      <c r="W24" s="3"/>
      <c r="X24" s="3"/>
      <c r="Y24" s="3"/>
      <c r="Z24" s="3"/>
    </row>
    <row r="25">
      <c r="A25" s="27"/>
      <c r="B25" s="79"/>
      <c r="C25" s="152" t="s">
        <v>195</v>
      </c>
      <c r="D25" s="152" t="s">
        <v>195</v>
      </c>
      <c r="E25" s="152" t="s">
        <v>195</v>
      </c>
      <c r="F25" s="152" t="s">
        <v>195</v>
      </c>
      <c r="G25" s="152" t="s">
        <v>195</v>
      </c>
      <c r="H25" s="152" t="s">
        <v>195</v>
      </c>
      <c r="I25" s="152" t="s">
        <v>195</v>
      </c>
      <c r="J25" s="152" t="s">
        <v>195</v>
      </c>
      <c r="K25" s="152" t="s">
        <v>195</v>
      </c>
      <c r="L25" s="152" t="s">
        <v>195</v>
      </c>
      <c r="M25" s="152" t="s">
        <v>195</v>
      </c>
      <c r="N25" s="152" t="s">
        <v>195</v>
      </c>
      <c r="O25" s="152" t="s">
        <v>195</v>
      </c>
      <c r="P25" s="152" t="s">
        <v>195</v>
      </c>
      <c r="Q25" s="152" t="s">
        <v>195</v>
      </c>
      <c r="R25" s="204"/>
      <c r="S25" s="204"/>
      <c r="T25" s="204"/>
      <c r="U25" s="204"/>
      <c r="V25" s="204"/>
      <c r="W25" s="3"/>
      <c r="X25" s="3"/>
      <c r="Y25" s="3"/>
      <c r="Z25" s="3"/>
    </row>
    <row r="26">
      <c r="A26" s="27"/>
      <c r="B26" s="5" t="s">
        <v>3</v>
      </c>
      <c r="C26" s="117" t="s">
        <v>4</v>
      </c>
      <c r="D26" s="119" t="s">
        <v>5</v>
      </c>
      <c r="E26" s="117" t="s">
        <v>6</v>
      </c>
      <c r="F26" s="117" t="s">
        <v>8</v>
      </c>
      <c r="G26" s="117" t="s">
        <v>9</v>
      </c>
      <c r="H26" s="117" t="s">
        <v>10</v>
      </c>
      <c r="I26" s="242" t="s">
        <v>11</v>
      </c>
      <c r="J26" s="117" t="s">
        <v>12</v>
      </c>
      <c r="K26" s="117" t="s">
        <v>13</v>
      </c>
      <c r="L26" s="117" t="s">
        <v>14</v>
      </c>
      <c r="M26" s="117" t="s">
        <v>15</v>
      </c>
      <c r="N26" s="117" t="s">
        <v>16</v>
      </c>
      <c r="O26" s="117" t="s">
        <v>17</v>
      </c>
      <c r="P26" s="117" t="s">
        <v>18</v>
      </c>
      <c r="Q26" s="117" t="s">
        <v>19</v>
      </c>
      <c r="R26" s="5" t="s">
        <v>20</v>
      </c>
      <c r="S26" s="5" t="s">
        <v>21</v>
      </c>
      <c r="T26" s="5" t="s">
        <v>22</v>
      </c>
      <c r="U26" s="5" t="s">
        <v>23</v>
      </c>
      <c r="V26" s="5" t="s">
        <v>24</v>
      </c>
      <c r="W26" s="3"/>
      <c r="X26" s="3"/>
      <c r="Y26" s="3"/>
      <c r="Z26" s="3"/>
    </row>
    <row r="27">
      <c r="A27" s="27"/>
      <c r="B27" s="13" t="s">
        <v>113</v>
      </c>
      <c r="C27" s="204" t="s">
        <v>2130</v>
      </c>
      <c r="D27" s="168" t="s">
        <v>2351</v>
      </c>
      <c r="E27" s="21"/>
      <c r="F27" s="26"/>
      <c r="G27" s="26"/>
      <c r="H27" s="234"/>
      <c r="I27" s="21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3"/>
      <c r="X27" s="3"/>
      <c r="Y27" s="3"/>
      <c r="Z27" s="3"/>
    </row>
    <row r="28" ht="30.0" customHeight="1">
      <c r="A28" s="27"/>
      <c r="B28" s="29"/>
      <c r="C28" s="171" t="s">
        <v>2352</v>
      </c>
      <c r="D28" s="171" t="s">
        <v>2353</v>
      </c>
      <c r="E28" s="319" t="s">
        <v>2354</v>
      </c>
      <c r="F28" s="255" t="s">
        <v>2355</v>
      </c>
      <c r="G28" s="171" t="s">
        <v>2356</v>
      </c>
      <c r="H28" s="320" t="s">
        <v>2357</v>
      </c>
      <c r="I28" s="171" t="s">
        <v>2358</v>
      </c>
      <c r="J28" s="276" t="s">
        <v>2359</v>
      </c>
      <c r="K28" s="171" t="s">
        <v>2360</v>
      </c>
      <c r="L28" s="171" t="s">
        <v>2361</v>
      </c>
      <c r="M28" s="171" t="s">
        <v>2361</v>
      </c>
      <c r="N28" s="171" t="s">
        <v>2361</v>
      </c>
      <c r="O28" s="171" t="s">
        <v>2361</v>
      </c>
      <c r="P28" s="171" t="s">
        <v>2361</v>
      </c>
      <c r="Q28" s="171" t="s">
        <v>2361</v>
      </c>
      <c r="R28" s="171" t="s">
        <v>2361</v>
      </c>
      <c r="S28" s="171" t="s">
        <v>2361</v>
      </c>
      <c r="T28" s="171" t="s">
        <v>2361</v>
      </c>
      <c r="U28" s="171" t="s">
        <v>2361</v>
      </c>
      <c r="V28" s="171" t="s">
        <v>2361</v>
      </c>
      <c r="W28" s="3"/>
      <c r="X28" s="3"/>
      <c r="Y28" s="3"/>
      <c r="Z28" s="3"/>
    </row>
    <row r="29">
      <c r="A29" s="27"/>
      <c r="B29" s="29"/>
      <c r="C29" s="62" t="s">
        <v>2362</v>
      </c>
      <c r="D29" s="62" t="s">
        <v>2362</v>
      </c>
      <c r="E29" s="62" t="s">
        <v>2362</v>
      </c>
      <c r="F29" s="62" t="s">
        <v>2362</v>
      </c>
      <c r="G29" s="58" t="s">
        <v>2363</v>
      </c>
      <c r="H29" s="64" t="s">
        <v>2363</v>
      </c>
      <c r="I29" s="75" t="s">
        <v>2364</v>
      </c>
      <c r="J29" s="62" t="s">
        <v>2161</v>
      </c>
      <c r="K29" s="62" t="s">
        <v>2161</v>
      </c>
      <c r="L29" s="75"/>
      <c r="M29" s="75"/>
      <c r="N29" s="10"/>
      <c r="O29" s="10"/>
      <c r="P29" s="75"/>
      <c r="Q29" s="75"/>
      <c r="R29" s="10"/>
      <c r="S29" s="10"/>
      <c r="T29" s="10"/>
      <c r="U29" s="10"/>
      <c r="V29" s="10"/>
      <c r="W29" s="3"/>
      <c r="X29" s="3"/>
      <c r="Y29" s="3"/>
      <c r="Z29" s="3"/>
    </row>
    <row r="30">
      <c r="A30" s="27"/>
      <c r="B30" s="29"/>
      <c r="C30" s="62" t="s">
        <v>2365</v>
      </c>
      <c r="D30" s="62" t="s">
        <v>2365</v>
      </c>
      <c r="E30" s="62" t="s">
        <v>2365</v>
      </c>
      <c r="F30" s="62" t="s">
        <v>2365</v>
      </c>
      <c r="G30" s="58" t="s">
        <v>2366</v>
      </c>
      <c r="H30" s="64" t="s">
        <v>2366</v>
      </c>
      <c r="I30" s="75" t="s">
        <v>2170</v>
      </c>
      <c r="J30" s="62" t="s">
        <v>472</v>
      </c>
      <c r="K30" s="62" t="s">
        <v>472</v>
      </c>
      <c r="L30" s="75"/>
      <c r="M30" s="75"/>
      <c r="N30" s="10"/>
      <c r="O30" s="10"/>
      <c r="P30" s="75"/>
      <c r="Q30" s="75"/>
      <c r="R30" s="10"/>
      <c r="S30" s="10"/>
      <c r="T30" s="10"/>
      <c r="U30" s="10"/>
      <c r="V30" s="10"/>
      <c r="W30" s="3"/>
      <c r="X30" s="3"/>
      <c r="Y30" s="3"/>
      <c r="Z30" s="3"/>
    </row>
    <row r="31">
      <c r="A31" s="27"/>
      <c r="B31" s="29"/>
      <c r="C31" s="62" t="s">
        <v>106</v>
      </c>
      <c r="D31" s="62" t="s">
        <v>106</v>
      </c>
      <c r="E31" s="62" t="s">
        <v>106</v>
      </c>
      <c r="F31" s="62" t="s">
        <v>106</v>
      </c>
      <c r="G31" s="58" t="s">
        <v>105</v>
      </c>
      <c r="H31" s="64" t="s">
        <v>105</v>
      </c>
      <c r="I31" s="75" t="s">
        <v>105</v>
      </c>
      <c r="J31" s="62" t="s">
        <v>105</v>
      </c>
      <c r="K31" s="62" t="s">
        <v>105</v>
      </c>
      <c r="L31" s="75"/>
      <c r="M31" s="75"/>
      <c r="N31" s="10"/>
      <c r="O31" s="10"/>
      <c r="P31" s="75"/>
      <c r="Q31" s="75"/>
      <c r="R31" s="10"/>
      <c r="S31" s="10"/>
      <c r="T31" s="10"/>
      <c r="U31" s="10"/>
      <c r="V31" s="10"/>
      <c r="W31" s="3"/>
      <c r="X31" s="3"/>
      <c r="Y31" s="3"/>
      <c r="Z31" s="3"/>
    </row>
    <row r="32">
      <c r="A32" s="27"/>
      <c r="B32" s="29"/>
      <c r="C32" s="91" t="s">
        <v>2367</v>
      </c>
      <c r="D32" s="91" t="s">
        <v>2368</v>
      </c>
      <c r="E32" s="91" t="s">
        <v>2369</v>
      </c>
      <c r="F32" s="91" t="s">
        <v>2370</v>
      </c>
      <c r="G32" s="91" t="s">
        <v>2371</v>
      </c>
      <c r="H32" s="87" t="s">
        <v>2372</v>
      </c>
      <c r="I32" s="91" t="s">
        <v>2373</v>
      </c>
      <c r="J32" s="85" t="s">
        <v>2374</v>
      </c>
      <c r="K32" s="91" t="s">
        <v>2375</v>
      </c>
      <c r="L32" s="211"/>
      <c r="M32" s="211"/>
      <c r="N32" s="152"/>
      <c r="O32" s="152"/>
      <c r="P32" s="211"/>
      <c r="Q32" s="211"/>
      <c r="R32" s="211"/>
      <c r="S32" s="211"/>
      <c r="T32" s="211"/>
      <c r="U32" s="211"/>
      <c r="V32" s="211"/>
      <c r="W32" s="3"/>
      <c r="X32" s="3"/>
      <c r="Y32" s="3"/>
      <c r="Z32" s="3"/>
    </row>
    <row r="33">
      <c r="A33" s="27"/>
      <c r="B33" s="79"/>
      <c r="C33" s="98" t="str">
        <f>HYPERLINK("https://drive.google.com/folderview?id=0BzlJDM3ko0eWflV1cXU4MHhDT1c3VTUxVFV3NUJfMlliZGR1cWJDa0hyQ2lET2x2eWI2ZWs&amp;usp=sharing","ดาวน์โหลดเอกสารประกอบ")</f>
        <v>ดาวน์โหลดเอกสารประกอบ</v>
      </c>
      <c r="D33" s="110" t="str">
        <f>HYPERLINK("https://drive.google.com/folderview?id=0BzlJDM3ko0eWfkJTREIyZHVoZDVEdXRrZlRpWVlKaTktU0l0dnZER1pQd1NXR2oyLTFlUm8&amp;usp=sharing","ดาวน์โหลดเอกสารประกอบ")</f>
        <v>ดาวน์โหลดเอกสารประกอบ</v>
      </c>
      <c r="E33" s="98" t="str">
        <f>HYPERLINK("https://drive.google.com/folderview?id=0BzlJDM3ko0eWfmFpck5rdmlfTGtjeUxwMUJGdUs2MTZEQzlTNHFiN29GUjJ3dEtMTlE0R2s&amp;usp=sharing","ดาวน์โหลดเอกสารประกอบ")</f>
        <v>ดาวน์โหลดเอกสารประกอบ</v>
      </c>
      <c r="F33" s="98" t="str">
        <f>HYPERLINK("https://drive.google.com/folderview?id=0BzlJDM3ko0eWfnhVT1JxTngwMUE3MU9ueFY4b1NFdG13VE5WVjNnQjN0aGdrZUZxbzJfRW8&amp;usp=sharing","ดาวน์โหลดเอกสารประกอบ")</f>
        <v>ดาวน์โหลดเอกสารประกอบ</v>
      </c>
      <c r="G33" s="98" t="str">
        <f>HYPERLINK("https://drive.google.com/folderview?id=0B5wB609c0oF0fnlxOXBWVm1fTS1tS1JlX2g5Q2hKaDhJOHNYZ184WWtVT1FwQUFQNDJLc3M&amp;usp=sharing","ดาวน์โหลดเอกสารประกอบ")</f>
        <v>ดาวน์โหลดเอกสารประกอบ</v>
      </c>
      <c r="H33" s="98" t="str">
        <f>HYPERLINK("https://drive.google.com/folderview?id=0B5wB609c0oF0flN6OTRjbjhLdzkzZmVPd044UW9KcllQbHJDdTZDSUpzT0ZvS1ZGdzJNNE0&amp;usp=sharing","ดาวน์โหลดเอกสารประกอบ")</f>
        <v>ดาวน์โหลดเอกสารประกอบ</v>
      </c>
      <c r="I33" s="152" t="s">
        <v>31</v>
      </c>
      <c r="J33" s="98" t="str">
        <f t="shared" ref="J33:K33" si="1">HYPERLINK("https://drive.google.com/folderview?id=0B21eH2QQLHcVTFdFMnNMX2FGam8&amp;usp=sharing","ดาวน์โหลดเอกสารประกอบ")</f>
        <v>ดาวน์โหลดเอกสารประกอบ</v>
      </c>
      <c r="K33" s="98" t="str">
        <f t="shared" si="1"/>
        <v>ดาวน์โหลดเอกสารประกอบ</v>
      </c>
      <c r="L33" s="152" t="s">
        <v>195</v>
      </c>
      <c r="M33" s="152" t="s">
        <v>195</v>
      </c>
      <c r="N33" s="152" t="s">
        <v>195</v>
      </c>
      <c r="O33" s="152" t="s">
        <v>195</v>
      </c>
      <c r="P33" s="152" t="s">
        <v>195</v>
      </c>
      <c r="Q33" s="152" t="s">
        <v>195</v>
      </c>
      <c r="R33" s="152" t="s">
        <v>195</v>
      </c>
      <c r="S33" s="152" t="s">
        <v>195</v>
      </c>
      <c r="T33" s="152" t="s">
        <v>195</v>
      </c>
      <c r="U33" s="152" t="s">
        <v>195</v>
      </c>
      <c r="V33" s="152" t="s">
        <v>195</v>
      </c>
      <c r="W33" s="3"/>
      <c r="X33" s="3"/>
      <c r="Y33" s="3"/>
      <c r="Z33" s="3"/>
    </row>
    <row r="34">
      <c r="A34" s="27"/>
      <c r="B34" s="5" t="s">
        <v>3</v>
      </c>
      <c r="C34" s="5" t="s">
        <v>4</v>
      </c>
      <c r="D34" s="12" t="s">
        <v>5</v>
      </c>
      <c r="E34" s="5" t="s">
        <v>6</v>
      </c>
      <c r="F34" s="5" t="s">
        <v>8</v>
      </c>
      <c r="G34" s="5" t="s">
        <v>9</v>
      </c>
      <c r="H34" s="5" t="s">
        <v>10</v>
      </c>
      <c r="I34" s="5" t="s">
        <v>11</v>
      </c>
      <c r="J34" s="5" t="s">
        <v>12</v>
      </c>
      <c r="K34" s="5" t="s">
        <v>13</v>
      </c>
      <c r="L34" s="5" t="s">
        <v>14</v>
      </c>
      <c r="M34" s="5" t="s">
        <v>15</v>
      </c>
      <c r="N34" s="5" t="s">
        <v>16</v>
      </c>
      <c r="O34" s="5" t="s">
        <v>17</v>
      </c>
      <c r="P34" s="5" t="s">
        <v>18</v>
      </c>
      <c r="Q34" s="5" t="s">
        <v>19</v>
      </c>
      <c r="R34" s="5" t="s">
        <v>20</v>
      </c>
      <c r="S34" s="5" t="s">
        <v>21</v>
      </c>
      <c r="T34" s="5" t="s">
        <v>22</v>
      </c>
      <c r="U34" s="5" t="s">
        <v>23</v>
      </c>
      <c r="V34" s="5" t="s">
        <v>24</v>
      </c>
      <c r="W34" s="3"/>
      <c r="X34" s="3"/>
      <c r="Y34" s="3"/>
      <c r="Z34" s="3"/>
    </row>
    <row r="35">
      <c r="A35" s="27"/>
      <c r="B35" s="13" t="s">
        <v>140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3"/>
      <c r="X35" s="3"/>
      <c r="Y35" s="3"/>
      <c r="Z35" s="3"/>
    </row>
    <row r="36" ht="60.0" customHeight="1">
      <c r="A36" s="27"/>
      <c r="B36" s="29"/>
      <c r="C36" s="171" t="s">
        <v>2378</v>
      </c>
      <c r="D36" s="171" t="s">
        <v>2355</v>
      </c>
      <c r="E36" s="171" t="s">
        <v>2379</v>
      </c>
      <c r="F36" s="171" t="s">
        <v>2380</v>
      </c>
      <c r="G36" s="171" t="s">
        <v>2381</v>
      </c>
      <c r="H36" s="171" t="s">
        <v>2382</v>
      </c>
      <c r="I36" s="171" t="s">
        <v>2383</v>
      </c>
      <c r="J36" s="171" t="s">
        <v>2384</v>
      </c>
      <c r="K36" s="171" t="s">
        <v>2143</v>
      </c>
      <c r="L36" s="171" t="s">
        <v>2386</v>
      </c>
      <c r="M36" s="171" t="s">
        <v>2388</v>
      </c>
      <c r="N36" s="171" t="s">
        <v>2140</v>
      </c>
      <c r="O36" s="171" t="s">
        <v>2390</v>
      </c>
      <c r="P36" s="171" t="s">
        <v>2391</v>
      </c>
      <c r="Q36" s="171" t="s">
        <v>2361</v>
      </c>
      <c r="R36" s="171" t="s">
        <v>2361</v>
      </c>
      <c r="S36" s="171" t="s">
        <v>2361</v>
      </c>
      <c r="T36" s="171" t="s">
        <v>2361</v>
      </c>
      <c r="U36" s="171" t="s">
        <v>2361</v>
      </c>
      <c r="V36" s="171" t="s">
        <v>2361</v>
      </c>
      <c r="W36" s="3"/>
      <c r="X36" s="3"/>
      <c r="Y36" s="3"/>
      <c r="Z36" s="3"/>
    </row>
    <row r="37">
      <c r="A37" s="27"/>
      <c r="B37" s="29"/>
      <c r="C37" s="58" t="s">
        <v>2398</v>
      </c>
      <c r="D37" s="58" t="s">
        <v>2398</v>
      </c>
      <c r="E37" s="58" t="s">
        <v>2398</v>
      </c>
      <c r="F37" s="64" t="s">
        <v>2363</v>
      </c>
      <c r="G37" s="75" t="s">
        <v>2402</v>
      </c>
      <c r="H37" s="75" t="s">
        <v>2404</v>
      </c>
      <c r="I37" s="75" t="s">
        <v>2404</v>
      </c>
      <c r="J37" s="75" t="s">
        <v>2404</v>
      </c>
      <c r="K37" s="75" t="s">
        <v>2404</v>
      </c>
      <c r="L37" s="75" t="s">
        <v>2408</v>
      </c>
      <c r="M37" s="75" t="s">
        <v>2408</v>
      </c>
      <c r="N37" s="75" t="s">
        <v>2408</v>
      </c>
      <c r="O37" s="75" t="s">
        <v>2408</v>
      </c>
      <c r="P37" s="75" t="s">
        <v>2411</v>
      </c>
      <c r="Q37" s="75"/>
      <c r="R37" s="75"/>
      <c r="S37" s="10"/>
      <c r="T37" s="10"/>
      <c r="U37" s="75"/>
      <c r="V37" s="10"/>
      <c r="W37" s="3"/>
      <c r="X37" s="3"/>
      <c r="Y37" s="3"/>
      <c r="Z37" s="3"/>
    </row>
    <row r="38">
      <c r="A38" s="27"/>
      <c r="B38" s="29"/>
      <c r="C38" s="58" t="s">
        <v>2413</v>
      </c>
      <c r="D38" s="58" t="s">
        <v>2413</v>
      </c>
      <c r="E38" s="58" t="s">
        <v>2413</v>
      </c>
      <c r="F38" s="64" t="s">
        <v>2366</v>
      </c>
      <c r="G38" s="75" t="s">
        <v>2170</v>
      </c>
      <c r="H38" s="75" t="s">
        <v>2416</v>
      </c>
      <c r="I38" s="75" t="s">
        <v>2416</v>
      </c>
      <c r="J38" s="75" t="s">
        <v>2416</v>
      </c>
      <c r="K38" s="75" t="s">
        <v>2416</v>
      </c>
      <c r="L38" s="75" t="s">
        <v>2171</v>
      </c>
      <c r="M38" s="75" t="s">
        <v>2171</v>
      </c>
      <c r="N38" s="75" t="s">
        <v>2171</v>
      </c>
      <c r="O38" s="75" t="s">
        <v>2171</v>
      </c>
      <c r="P38" s="75" t="s">
        <v>2173</v>
      </c>
      <c r="Q38" s="75"/>
      <c r="R38" s="75"/>
      <c r="S38" s="10"/>
      <c r="T38" s="10"/>
      <c r="U38" s="75"/>
      <c r="V38" s="10"/>
      <c r="W38" s="3"/>
      <c r="X38" s="3"/>
      <c r="Y38" s="3"/>
      <c r="Z38" s="3"/>
    </row>
    <row r="39">
      <c r="A39" s="27"/>
      <c r="B39" s="29"/>
      <c r="C39" s="58" t="s">
        <v>2421</v>
      </c>
      <c r="D39" s="58" t="s">
        <v>2421</v>
      </c>
      <c r="E39" s="58" t="s">
        <v>2421</v>
      </c>
      <c r="F39" s="64" t="s">
        <v>105</v>
      </c>
      <c r="G39" s="75" t="s">
        <v>105</v>
      </c>
      <c r="H39" s="75" t="s">
        <v>765</v>
      </c>
      <c r="I39" s="75" t="s">
        <v>765</v>
      </c>
      <c r="J39" s="75" t="s">
        <v>765</v>
      </c>
      <c r="K39" s="75" t="s">
        <v>765</v>
      </c>
      <c r="L39" s="75" t="s">
        <v>105</v>
      </c>
      <c r="M39" s="75" t="s">
        <v>105</v>
      </c>
      <c r="N39" s="75" t="s">
        <v>105</v>
      </c>
      <c r="O39" s="75" t="s">
        <v>105</v>
      </c>
      <c r="P39" s="75" t="s">
        <v>105</v>
      </c>
      <c r="Q39" s="75"/>
      <c r="R39" s="75"/>
      <c r="S39" s="10"/>
      <c r="T39" s="10"/>
      <c r="U39" s="75"/>
      <c r="V39" s="10"/>
      <c r="W39" s="3"/>
      <c r="X39" s="3"/>
      <c r="Y39" s="3"/>
      <c r="Z39" s="3"/>
    </row>
    <row r="40">
      <c r="A40" s="27"/>
      <c r="B40" s="29"/>
      <c r="C40" s="91" t="s">
        <v>2424</v>
      </c>
      <c r="D40" s="91" t="s">
        <v>2426</v>
      </c>
      <c r="E40" s="91" t="s">
        <v>2428</v>
      </c>
      <c r="F40" s="98" t="s">
        <v>2429</v>
      </c>
      <c r="G40" s="91" t="s">
        <v>2430</v>
      </c>
      <c r="H40" s="91" t="s">
        <v>2431</v>
      </c>
      <c r="I40" s="91" t="s">
        <v>2432</v>
      </c>
      <c r="J40" s="91" t="s">
        <v>2434</v>
      </c>
      <c r="K40" s="91" t="s">
        <v>2435</v>
      </c>
      <c r="L40" s="91" t="s">
        <v>2436</v>
      </c>
      <c r="M40" s="91" t="s">
        <v>2437</v>
      </c>
      <c r="N40" s="91" t="s">
        <v>2438</v>
      </c>
      <c r="O40" s="91" t="s">
        <v>2439</v>
      </c>
      <c r="P40" s="91" t="s">
        <v>2440</v>
      </c>
      <c r="Q40" s="211"/>
      <c r="R40" s="211"/>
      <c r="S40" s="211"/>
      <c r="T40" s="211"/>
      <c r="U40" s="211"/>
      <c r="V40" s="211"/>
      <c r="W40" s="3"/>
      <c r="X40" s="3"/>
      <c r="Y40" s="3"/>
      <c r="Z40" s="3"/>
    </row>
    <row r="41">
      <c r="A41" s="27"/>
      <c r="B41" s="79"/>
      <c r="C41" s="152" t="s">
        <v>31</v>
      </c>
      <c r="D41" s="98" t="str">
        <f>HYPERLINK("https://drive.google.com/folderview?id=0B5wB609c0oF0eEhvSXAybjdFc1U&amp;usp=sharing","ดาวน์โหลดเอกสารประกอบ")</f>
        <v>ดาวน์โหลดเอกสารประกอบ</v>
      </c>
      <c r="E41" s="98" t="str">
        <f>HYPERLINK("https://drive.google.com/folderview?id=0B5wB609c0oF0YXN5UFNzNXExMFE&amp;usp=sharing","ดาวน์โหลดเอกสารประกอบ")</f>
        <v>ดาวน์โหลดเอกสารประกอบ</v>
      </c>
      <c r="F41" s="98" t="str">
        <f>HYPERLINK("https://drive.google.com/folderview?id=0B5wB609c0oF0bjZrVWlQLXZjdWc&amp;usp=sharing","ดาวน์โหลดเอกสารประกอบ")</f>
        <v>ดาวน์โหลดเอกสารประกอบ</v>
      </c>
      <c r="G41" s="152" t="s">
        <v>195</v>
      </c>
      <c r="H41" s="152" t="s">
        <v>195</v>
      </c>
      <c r="I41" s="152" t="s">
        <v>195</v>
      </c>
      <c r="J41" s="152" t="s">
        <v>195</v>
      </c>
      <c r="K41" s="152" t="s">
        <v>195</v>
      </c>
      <c r="L41" s="98" t="str">
        <f>HYPERLINK("https://drive.google.com/folderview?id=0B21eH2QQLHcVSzhkdWItQzk5b1U&amp;usp=sharing","ดาวน์โหลดเอกสารประกอบ")</f>
        <v>ดาวน์โหลดเอกสารประกอบ</v>
      </c>
      <c r="M41" s="98" t="str">
        <f>HYPERLINK("https://drive.google.com/folderview?id=0B21eH2QQLHcVY3BHdVhXY3FnWUk&amp;usp=sharing","ดาวน์โหลดเอกสารประกอบ")</f>
        <v>ดาวน์โหลดเอกสารประกอบ</v>
      </c>
      <c r="N41" s="98" t="str">
        <f>HYPERLINK("https://drive.google.com/folderview?id=0B21eH2QQLHcVOUFlTTl6dXQtX2c&amp;usp=sharing","ดาวน์โหลดเอกสารประกอบ")</f>
        <v>ดาวน์โหลดเอกสารประกอบ</v>
      </c>
      <c r="O41" s="98" t="str">
        <f>HYPERLINK("https://drive.google.com/folderview?id=0B21eH2QQLHcVVG9aNGlmRmRqd0U&amp;usp=sharing","ดาวน์โหลดเอกสารประกอบ")</f>
        <v>ดาวน์โหลดเอกสารประกอบ</v>
      </c>
      <c r="P41" s="98" t="str">
        <f>HYPERLINK("https://drive.google.com/folderview?id=0B21eH2QQLHcVNEZWUjZTTm9oN3M&amp;usp=sharing","ดาวน์โหลดเอกสารประกอบ")</f>
        <v>ดาวน์โหลดเอกสารประกอบ</v>
      </c>
      <c r="Q41" s="152" t="s">
        <v>195</v>
      </c>
      <c r="R41" s="152" t="s">
        <v>195</v>
      </c>
      <c r="S41" s="152" t="s">
        <v>195</v>
      </c>
      <c r="T41" s="152" t="s">
        <v>195</v>
      </c>
      <c r="U41" s="152" t="s">
        <v>195</v>
      </c>
      <c r="V41" s="152" t="s">
        <v>195</v>
      </c>
      <c r="W41" s="3"/>
      <c r="X41" s="3"/>
      <c r="Y41" s="3"/>
      <c r="Z41" s="3"/>
    </row>
    <row r="42">
      <c r="A42" s="27"/>
      <c r="B42" s="5" t="s">
        <v>3</v>
      </c>
      <c r="C42" s="5" t="s">
        <v>4</v>
      </c>
      <c r="D42" s="12" t="s">
        <v>5</v>
      </c>
      <c r="E42" s="5" t="s">
        <v>6</v>
      </c>
      <c r="F42" s="5" t="s">
        <v>8</v>
      </c>
      <c r="G42" s="5" t="s">
        <v>9</v>
      </c>
      <c r="H42" s="5" t="s">
        <v>10</v>
      </c>
      <c r="I42" s="5" t="s">
        <v>11</v>
      </c>
      <c r="J42" s="5" t="s">
        <v>12</v>
      </c>
      <c r="K42" s="5" t="s">
        <v>13</v>
      </c>
      <c r="L42" s="5" t="s">
        <v>14</v>
      </c>
      <c r="M42" s="5" t="s">
        <v>15</v>
      </c>
      <c r="N42" s="5" t="s">
        <v>16</v>
      </c>
      <c r="O42" s="5" t="s">
        <v>17</v>
      </c>
      <c r="P42" s="5" t="s">
        <v>18</v>
      </c>
      <c r="Q42" s="5" t="s">
        <v>19</v>
      </c>
      <c r="R42" s="5" t="s">
        <v>20</v>
      </c>
      <c r="S42" s="5" t="s">
        <v>21</v>
      </c>
      <c r="T42" s="5" t="s">
        <v>22</v>
      </c>
      <c r="U42" s="5" t="s">
        <v>23</v>
      </c>
      <c r="V42" s="5" t="s">
        <v>24</v>
      </c>
      <c r="W42" s="3"/>
      <c r="X42" s="3"/>
      <c r="Y42" s="3"/>
      <c r="Z42" s="3"/>
    </row>
    <row r="43">
      <c r="A43" s="27"/>
      <c r="B43" s="13" t="s">
        <v>159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6"/>
      <c r="P43" s="21"/>
      <c r="Q43" s="21"/>
      <c r="R43" s="26"/>
      <c r="S43" s="21"/>
      <c r="T43" s="194"/>
      <c r="U43" s="21"/>
      <c r="V43" s="21"/>
      <c r="W43" s="3"/>
      <c r="X43" s="3"/>
      <c r="Y43" s="3"/>
      <c r="Z43" s="3"/>
    </row>
    <row r="44" ht="57.75" customHeight="1">
      <c r="A44" s="27"/>
      <c r="B44" s="29"/>
      <c r="C44" s="171" t="s">
        <v>2459</v>
      </c>
      <c r="D44" s="171" t="s">
        <v>2460</v>
      </c>
      <c r="E44" s="171" t="s">
        <v>2461</v>
      </c>
      <c r="F44" s="171" t="s">
        <v>2462</v>
      </c>
      <c r="G44" s="171" t="s">
        <v>2463</v>
      </c>
      <c r="H44" s="171" t="s">
        <v>2464</v>
      </c>
      <c r="I44" s="171" t="s">
        <v>2465</v>
      </c>
      <c r="J44" s="171" t="s">
        <v>2466</v>
      </c>
      <c r="K44" s="171" t="s">
        <v>2467</v>
      </c>
      <c r="L44" s="171" t="s">
        <v>2468</v>
      </c>
      <c r="M44" s="171" t="s">
        <v>2469</v>
      </c>
      <c r="N44" s="171" t="s">
        <v>2470</v>
      </c>
      <c r="O44" s="171" t="s">
        <v>2471</v>
      </c>
      <c r="P44" s="171" t="s">
        <v>2472</v>
      </c>
      <c r="Q44" s="171" t="s">
        <v>2473</v>
      </c>
      <c r="R44" s="171" t="s">
        <v>2474</v>
      </c>
      <c r="S44" s="171" t="s">
        <v>2475</v>
      </c>
      <c r="T44" s="171" t="s">
        <v>2361</v>
      </c>
      <c r="U44" s="171" t="s">
        <v>2361</v>
      </c>
      <c r="V44" s="171" t="s">
        <v>2361</v>
      </c>
      <c r="W44" s="3"/>
      <c r="X44" s="3"/>
      <c r="Y44" s="3"/>
      <c r="Z44" s="3"/>
    </row>
    <row r="45">
      <c r="A45" s="27"/>
      <c r="B45" s="29"/>
      <c r="C45" s="54" t="s">
        <v>2476</v>
      </c>
      <c r="D45" s="52" t="s">
        <v>2476</v>
      </c>
      <c r="E45" s="54" t="s">
        <v>2476</v>
      </c>
      <c r="F45" s="52" t="s">
        <v>2476</v>
      </c>
      <c r="G45" s="75" t="s">
        <v>2477</v>
      </c>
      <c r="H45" s="75" t="s">
        <v>2477</v>
      </c>
      <c r="I45" s="75" t="s">
        <v>2477</v>
      </c>
      <c r="J45" s="75" t="s">
        <v>2477</v>
      </c>
      <c r="K45" s="75" t="s">
        <v>2478</v>
      </c>
      <c r="L45" s="75" t="s">
        <v>2478</v>
      </c>
      <c r="M45" s="75" t="s">
        <v>2478</v>
      </c>
      <c r="N45" s="75" t="s">
        <v>2479</v>
      </c>
      <c r="O45" s="75" t="s">
        <v>2480</v>
      </c>
      <c r="P45" s="75" t="s">
        <v>2481</v>
      </c>
      <c r="Q45" s="75" t="s">
        <v>2481</v>
      </c>
      <c r="R45" s="75" t="s">
        <v>2481</v>
      </c>
      <c r="S45" s="75" t="s">
        <v>2481</v>
      </c>
      <c r="T45" s="75"/>
      <c r="U45" s="10"/>
      <c r="V45" s="10"/>
      <c r="W45" s="3"/>
      <c r="X45" s="3"/>
      <c r="Y45" s="3"/>
      <c r="Z45" s="3"/>
    </row>
    <row r="46">
      <c r="A46" s="27"/>
      <c r="B46" s="29"/>
      <c r="C46" s="54" t="s">
        <v>2482</v>
      </c>
      <c r="D46" s="52" t="s">
        <v>2482</v>
      </c>
      <c r="E46" s="54" t="s">
        <v>2482</v>
      </c>
      <c r="F46" s="52" t="s">
        <v>2482</v>
      </c>
      <c r="G46" s="75" t="s">
        <v>2483</v>
      </c>
      <c r="H46" s="75" t="s">
        <v>2483</v>
      </c>
      <c r="I46" s="75" t="s">
        <v>2483</v>
      </c>
      <c r="J46" s="75" t="s">
        <v>2483</v>
      </c>
      <c r="K46" s="75" t="s">
        <v>2484</v>
      </c>
      <c r="L46" s="75" t="s">
        <v>2484</v>
      </c>
      <c r="M46" s="75" t="s">
        <v>2484</v>
      </c>
      <c r="N46" s="75" t="s">
        <v>2484</v>
      </c>
      <c r="O46" s="75" t="s">
        <v>2173</v>
      </c>
      <c r="P46" s="75" t="s">
        <v>2485</v>
      </c>
      <c r="Q46" s="75" t="s">
        <v>2485</v>
      </c>
      <c r="R46" s="75" t="s">
        <v>2485</v>
      </c>
      <c r="S46" s="75" t="s">
        <v>2485</v>
      </c>
      <c r="T46" s="75"/>
      <c r="U46" s="10"/>
      <c r="V46" s="10"/>
      <c r="W46" s="3"/>
      <c r="X46" s="3"/>
      <c r="Y46" s="3"/>
      <c r="Z46" s="3"/>
    </row>
    <row r="47">
      <c r="A47" s="27"/>
      <c r="B47" s="29"/>
      <c r="C47" s="54" t="s">
        <v>1608</v>
      </c>
      <c r="D47" s="52" t="s">
        <v>1608</v>
      </c>
      <c r="E47" s="54" t="s">
        <v>1608</v>
      </c>
      <c r="F47" s="52" t="s">
        <v>1608</v>
      </c>
      <c r="G47" s="75" t="s">
        <v>1608</v>
      </c>
      <c r="H47" s="75" t="s">
        <v>1608</v>
      </c>
      <c r="I47" s="75" t="s">
        <v>1608</v>
      </c>
      <c r="J47" s="75" t="s">
        <v>1608</v>
      </c>
      <c r="K47" s="75" t="s">
        <v>765</v>
      </c>
      <c r="L47" s="75" t="s">
        <v>765</v>
      </c>
      <c r="M47" s="75" t="s">
        <v>765</v>
      </c>
      <c r="N47" s="75" t="s">
        <v>765</v>
      </c>
      <c r="O47" s="75" t="s">
        <v>105</v>
      </c>
      <c r="P47" s="75" t="s">
        <v>108</v>
      </c>
      <c r="Q47" s="75" t="s">
        <v>108</v>
      </c>
      <c r="R47" s="75" t="s">
        <v>108</v>
      </c>
      <c r="S47" s="75" t="s">
        <v>108</v>
      </c>
      <c r="T47" s="75"/>
      <c r="U47" s="10"/>
      <c r="V47" s="10"/>
      <c r="W47" s="3"/>
      <c r="X47" s="3"/>
      <c r="Y47" s="3"/>
      <c r="Z47" s="3"/>
    </row>
    <row r="48">
      <c r="A48" s="27"/>
      <c r="B48" s="29"/>
      <c r="C48" s="91" t="s">
        <v>2486</v>
      </c>
      <c r="D48" s="91" t="s">
        <v>2487</v>
      </c>
      <c r="E48" s="324" t="s">
        <v>2488</v>
      </c>
      <c r="F48" s="91" t="s">
        <v>2489</v>
      </c>
      <c r="G48" s="91" t="s">
        <v>2490</v>
      </c>
      <c r="H48" s="91" t="s">
        <v>2491</v>
      </c>
      <c r="I48" s="91" t="s">
        <v>2492</v>
      </c>
      <c r="J48" s="91" t="s">
        <v>2493</v>
      </c>
      <c r="K48" s="91" t="s">
        <v>2494</v>
      </c>
      <c r="L48" s="91" t="s">
        <v>2495</v>
      </c>
      <c r="M48" s="91" t="s">
        <v>2496</v>
      </c>
      <c r="N48" s="91" t="s">
        <v>2497</v>
      </c>
      <c r="O48" s="91" t="s">
        <v>2502</v>
      </c>
      <c r="P48" s="91" t="s">
        <v>2509</v>
      </c>
      <c r="Q48" s="91" t="s">
        <v>2512</v>
      </c>
      <c r="R48" s="91" t="s">
        <v>2520</v>
      </c>
      <c r="S48" s="91" t="s">
        <v>2521</v>
      </c>
      <c r="T48" s="211"/>
      <c r="U48" s="211"/>
      <c r="V48" s="211"/>
      <c r="W48" s="3"/>
      <c r="X48" s="3"/>
      <c r="Y48" s="3"/>
      <c r="Z48" s="3"/>
    </row>
    <row r="49">
      <c r="A49" s="27"/>
      <c r="B49" s="79"/>
      <c r="C49" s="152" t="s">
        <v>31</v>
      </c>
      <c r="D49" s="152" t="s">
        <v>31</v>
      </c>
      <c r="E49" s="152" t="s">
        <v>31</v>
      </c>
      <c r="F49" s="152" t="s">
        <v>31</v>
      </c>
      <c r="G49" s="152" t="s">
        <v>31</v>
      </c>
      <c r="H49" s="152" t="s">
        <v>31</v>
      </c>
      <c r="I49" s="152" t="s">
        <v>31</v>
      </c>
      <c r="J49" s="152" t="s">
        <v>31</v>
      </c>
      <c r="K49" s="98" t="str">
        <f>HYPERLINK("https://drive.google.com/folderview?id=0B21eH2QQLHcVamJheGlnTE02MEk&amp;usp=sharing","ดาวน์โหลดเอกสารประกอบ")</f>
        <v>ดาวน์โหลดเอกสารประกอบ</v>
      </c>
      <c r="L49" s="98" t="str">
        <f>HYPERLINK("https://drive.google.com/folderview?id=0B21eH2QQLHcVUlVveFd0aV9FMTA&amp;usp=sharing","ดาวน์โหลดเอกสารประกอบ")</f>
        <v>ดาวน์โหลดเอกสารประกอบ</v>
      </c>
      <c r="M49" s="98" t="str">
        <f>HYPERLINK("https://drive.google.com/folderview?id=0B21eH2QQLHcVTjFQc3RRc0l0dFk&amp;usp=sharing","ดาวน์โหลดเอกสารประกอบ")</f>
        <v>ดาวน์โหลดเอกสารประกอบ</v>
      </c>
      <c r="N49" s="98" t="str">
        <f>HYPERLINK("https://drive.google.com/folderview?id=0B21eH2QQLHcVLUkzY3pQQUNkQmc&amp;usp=sharing","ดาวน์โหลดเอกสารประกอบ")</f>
        <v>ดาวน์โหลดเอกสารประกอบ</v>
      </c>
      <c r="O49" s="152" t="s">
        <v>195</v>
      </c>
      <c r="P49" s="98" t="str">
        <f>HYPERLINK("https://drive.google.com/folderview?id=0B21eH2QQLHcVcFJkaDRhMmtXU0U&amp;usp=sharing","ดาวน์โหลดเอกสารประกอบ")</f>
        <v>ดาวน์โหลดเอกสารประกอบ</v>
      </c>
      <c r="Q49" s="98" t="str">
        <f>HYPERLINK("https://drive.google.com/folderview?id=0B21eH2QQLHcVZHp1dURFSFVkMkE&amp;usp=sharing","ดาวน์โหลดเอกสารประกอบ")</f>
        <v>ดาวน์โหลดเอกสารประกอบ</v>
      </c>
      <c r="R49" s="98" t="str">
        <f>HYPERLINK("https://drive.google.com/folderview?id=0B21eH2QQLHcVNV9KSFpfNVN4R1E&amp;usp=sharing","ดาวน์โหลดเอกสารประกอบ")</f>
        <v>ดาวน์โหลดเอกสารประกอบ</v>
      </c>
      <c r="S49" s="98" t="str">
        <f>HYPERLINK("https://drive.google.com/folderview?id=0B21eH2QQLHcVWndjNTkzSDZrSGc&amp;usp=sharing","ดาวน์โหลดเอกสารประกอบ")</f>
        <v>ดาวน์โหลดเอกสารประกอบ</v>
      </c>
      <c r="T49" s="152" t="s">
        <v>195</v>
      </c>
      <c r="U49" s="152" t="s">
        <v>195</v>
      </c>
      <c r="V49" s="152" t="s">
        <v>195</v>
      </c>
      <c r="W49" s="3"/>
      <c r="X49" s="3"/>
      <c r="Y49" s="3"/>
      <c r="Z49" s="3"/>
    </row>
    <row r="50">
      <c r="A50" s="27"/>
      <c r="B50" s="5" t="s">
        <v>3</v>
      </c>
      <c r="C50" s="5" t="s">
        <v>4</v>
      </c>
      <c r="D50" s="12" t="s">
        <v>5</v>
      </c>
      <c r="E50" s="5" t="s">
        <v>6</v>
      </c>
      <c r="F50" s="5" t="s">
        <v>8</v>
      </c>
      <c r="G50" s="5" t="s">
        <v>9</v>
      </c>
      <c r="H50" s="5" t="s">
        <v>10</v>
      </c>
      <c r="I50" s="5" t="s">
        <v>11</v>
      </c>
      <c r="J50" s="5" t="s">
        <v>12</v>
      </c>
      <c r="K50" s="5" t="s">
        <v>13</v>
      </c>
      <c r="L50" s="5" t="s">
        <v>14</v>
      </c>
      <c r="M50" s="5" t="s">
        <v>15</v>
      </c>
      <c r="N50" s="5" t="s">
        <v>16</v>
      </c>
      <c r="O50" s="5" t="s">
        <v>17</v>
      </c>
      <c r="P50" s="5" t="s">
        <v>18</v>
      </c>
      <c r="Q50" s="5" t="s">
        <v>19</v>
      </c>
      <c r="R50" s="5" t="s">
        <v>20</v>
      </c>
      <c r="S50" s="5" t="s">
        <v>21</v>
      </c>
      <c r="T50" s="5" t="s">
        <v>22</v>
      </c>
      <c r="U50" s="5" t="s">
        <v>23</v>
      </c>
      <c r="V50" s="5" t="s">
        <v>24</v>
      </c>
      <c r="W50" s="3"/>
      <c r="X50" s="3"/>
      <c r="Y50" s="3"/>
      <c r="Z50" s="3"/>
    </row>
    <row r="51">
      <c r="A51" s="27"/>
      <c r="B51" s="13" t="s">
        <v>175</v>
      </c>
      <c r="C51" s="21"/>
      <c r="D51" s="21"/>
      <c r="E51" s="21"/>
      <c r="F51" s="21"/>
      <c r="G51" s="21"/>
      <c r="H51" s="26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194"/>
      <c r="X51" s="3"/>
      <c r="Y51" s="3"/>
      <c r="Z51" s="3"/>
    </row>
    <row r="52" ht="30.0" customHeight="1">
      <c r="A52" s="27"/>
      <c r="B52" s="29"/>
      <c r="C52" s="171" t="s">
        <v>2545</v>
      </c>
      <c r="D52" s="171" t="s">
        <v>2546</v>
      </c>
      <c r="E52" s="171" t="s">
        <v>2547</v>
      </c>
      <c r="F52" s="171" t="s">
        <v>2548</v>
      </c>
      <c r="G52" s="171" t="s">
        <v>2549</v>
      </c>
      <c r="H52" s="171" t="s">
        <v>2382</v>
      </c>
      <c r="I52" s="171" t="s">
        <v>2475</v>
      </c>
      <c r="J52" s="171" t="s">
        <v>2550</v>
      </c>
      <c r="K52" s="171" t="s">
        <v>2551</v>
      </c>
      <c r="L52" s="171" t="s">
        <v>2552</v>
      </c>
      <c r="M52" s="171" t="s">
        <v>2143</v>
      </c>
      <c r="N52" s="171" t="s">
        <v>2553</v>
      </c>
      <c r="O52" s="171" t="s">
        <v>2475</v>
      </c>
      <c r="P52" s="171" t="s">
        <v>2361</v>
      </c>
      <c r="Q52" s="171" t="s">
        <v>2361</v>
      </c>
      <c r="R52" s="171" t="s">
        <v>2361</v>
      </c>
      <c r="S52" s="171" t="s">
        <v>2361</v>
      </c>
      <c r="T52" s="171" t="s">
        <v>2361</v>
      </c>
      <c r="U52" s="171" t="s">
        <v>2361</v>
      </c>
      <c r="V52" s="171" t="s">
        <v>2361</v>
      </c>
      <c r="W52" s="49"/>
      <c r="X52" s="3"/>
      <c r="Y52" s="3"/>
      <c r="Z52" s="3"/>
    </row>
    <row r="53">
      <c r="A53" s="27"/>
      <c r="B53" s="29"/>
      <c r="C53" s="52" t="s">
        <v>2554</v>
      </c>
      <c r="D53" s="54" t="s">
        <v>2555</v>
      </c>
      <c r="E53" s="52" t="s">
        <v>2555</v>
      </c>
      <c r="F53" s="54" t="s">
        <v>2555</v>
      </c>
      <c r="G53" s="52" t="s">
        <v>2555</v>
      </c>
      <c r="H53" s="75" t="s">
        <v>2556</v>
      </c>
      <c r="I53" s="75" t="s">
        <v>2556</v>
      </c>
      <c r="J53" s="75" t="s">
        <v>2554</v>
      </c>
      <c r="K53" s="75" t="s">
        <v>2557</v>
      </c>
      <c r="L53" s="75" t="s">
        <v>2558</v>
      </c>
      <c r="M53" s="75" t="s">
        <v>2558</v>
      </c>
      <c r="N53" s="75" t="s">
        <v>2559</v>
      </c>
      <c r="O53" s="75" t="s">
        <v>2559</v>
      </c>
      <c r="P53" s="75"/>
      <c r="Q53" s="10"/>
      <c r="R53" s="10"/>
      <c r="S53" s="10"/>
      <c r="T53" s="10"/>
      <c r="U53" s="10"/>
      <c r="V53" s="10"/>
      <c r="W53" s="3"/>
      <c r="X53" s="3"/>
      <c r="Y53" s="3"/>
      <c r="Z53" s="3"/>
    </row>
    <row r="54">
      <c r="A54" s="27"/>
      <c r="B54" s="29"/>
      <c r="C54" s="52" t="s">
        <v>2560</v>
      </c>
      <c r="D54" s="54" t="s">
        <v>2561</v>
      </c>
      <c r="E54" s="52" t="s">
        <v>2561</v>
      </c>
      <c r="F54" s="54" t="s">
        <v>2561</v>
      </c>
      <c r="G54" s="52" t="s">
        <v>2561</v>
      </c>
      <c r="H54" s="75" t="s">
        <v>2171</v>
      </c>
      <c r="I54" s="75" t="s">
        <v>2171</v>
      </c>
      <c r="J54" s="75" t="s">
        <v>2560</v>
      </c>
      <c r="K54" s="75" t="s">
        <v>2173</v>
      </c>
      <c r="L54" s="75" t="s">
        <v>2171</v>
      </c>
      <c r="M54" s="75" t="s">
        <v>2171</v>
      </c>
      <c r="N54" s="75" t="s">
        <v>2562</v>
      </c>
      <c r="O54" s="75" t="s">
        <v>2562</v>
      </c>
      <c r="P54" s="75"/>
      <c r="Q54" s="10"/>
      <c r="R54" s="10"/>
      <c r="S54" s="10"/>
      <c r="T54" s="10"/>
      <c r="U54" s="10"/>
      <c r="V54" s="10"/>
      <c r="W54" s="3"/>
      <c r="X54" s="3"/>
      <c r="Y54" s="3"/>
      <c r="Z54" s="3"/>
    </row>
    <row r="55">
      <c r="A55" s="27"/>
      <c r="B55" s="29"/>
      <c r="C55" s="52" t="s">
        <v>2421</v>
      </c>
      <c r="D55" s="54" t="s">
        <v>1608</v>
      </c>
      <c r="E55" s="52" t="s">
        <v>1608</v>
      </c>
      <c r="F55" s="54" t="s">
        <v>1608</v>
      </c>
      <c r="G55" s="52" t="s">
        <v>1608</v>
      </c>
      <c r="H55" s="75" t="s">
        <v>105</v>
      </c>
      <c r="I55" s="75" t="s">
        <v>105</v>
      </c>
      <c r="J55" s="75" t="s">
        <v>2421</v>
      </c>
      <c r="K55" s="75" t="s">
        <v>105</v>
      </c>
      <c r="L55" s="75" t="s">
        <v>105</v>
      </c>
      <c r="M55" s="75" t="s">
        <v>105</v>
      </c>
      <c r="N55" s="75" t="s">
        <v>2563</v>
      </c>
      <c r="O55" s="75" t="s">
        <v>2563</v>
      </c>
      <c r="P55" s="75"/>
      <c r="Q55" s="10"/>
      <c r="R55" s="10"/>
      <c r="S55" s="10"/>
      <c r="T55" s="10"/>
      <c r="U55" s="10"/>
      <c r="V55" s="10"/>
      <c r="W55" s="3"/>
      <c r="X55" s="3"/>
      <c r="Y55" s="3"/>
      <c r="Z55" s="3"/>
    </row>
    <row r="56">
      <c r="A56" s="27"/>
      <c r="B56" s="29"/>
      <c r="C56" s="91" t="s">
        <v>2564</v>
      </c>
      <c r="D56" s="91" t="s">
        <v>2565</v>
      </c>
      <c r="E56" s="91" t="s">
        <v>2566</v>
      </c>
      <c r="F56" s="91" t="s">
        <v>2567</v>
      </c>
      <c r="G56" s="91" t="s">
        <v>2568</v>
      </c>
      <c r="H56" s="91" t="s">
        <v>2569</v>
      </c>
      <c r="I56" s="91" t="s">
        <v>2570</v>
      </c>
      <c r="J56" s="91" t="s">
        <v>2571</v>
      </c>
      <c r="K56" s="91" t="s">
        <v>2572</v>
      </c>
      <c r="L56" s="91" t="s">
        <v>2573</v>
      </c>
      <c r="M56" s="91" t="s">
        <v>2572</v>
      </c>
      <c r="N56" s="91" t="s">
        <v>2574</v>
      </c>
      <c r="O56" s="91" t="s">
        <v>2575</v>
      </c>
      <c r="P56" s="211"/>
      <c r="Q56" s="211"/>
      <c r="R56" s="211"/>
      <c r="S56" s="211"/>
      <c r="T56" s="211"/>
      <c r="U56" s="211"/>
      <c r="V56" s="211"/>
      <c r="W56" s="3"/>
      <c r="X56" s="3"/>
      <c r="Y56" s="3"/>
      <c r="Z56" s="3"/>
    </row>
    <row r="57">
      <c r="A57" s="27"/>
      <c r="B57" s="79"/>
      <c r="C57" s="152" t="s">
        <v>31</v>
      </c>
      <c r="D57" s="152" t="s">
        <v>31</v>
      </c>
      <c r="E57" s="152" t="s">
        <v>31</v>
      </c>
      <c r="F57" s="152" t="s">
        <v>31</v>
      </c>
      <c r="G57" s="152" t="s">
        <v>31</v>
      </c>
      <c r="H57" s="98" t="str">
        <f>HYPERLINK("https://drive.google.com/folderview?id=0B21eH2QQLHcVb250cGFnWXNnbkU&amp;usp=sharing","ดาวน์โหลดเอกสารประกอบ")</f>
        <v>ดาวน์โหลดเอกสารประกอบ</v>
      </c>
      <c r="I57" s="98" t="str">
        <f>HYPERLINK("https://drive.google.com/folderview?id=0B21eH2QQLHcVc0FmWnFUUnZFcG8&amp;usp=sharing","ดาวน์โหลดเอกสารประกอบ")</f>
        <v>ดาวน์โหลดเอกสารประกอบ</v>
      </c>
      <c r="J57" s="98" t="str">
        <f>HYPERLINK("https://drive.google.com/folderview?id=0B21eH2QQLHcVVE96d045Z0VLOXc&amp;usp=sharing","ดาวน์โหลดเอกสารประกอบ")</f>
        <v>ดาวน์โหลดเอกสารประกอบ</v>
      </c>
      <c r="K57" s="98" t="str">
        <f>HYPERLINK("https://drive.google.com/folderview?id=0B21eH2QQLHcVMmw3M0JEWFBRXzQ&amp;usp=sharing","ดาวน์โหลดเอกสารประกอบ")</f>
        <v>ดาวน์โหลดเอกสารประกอบ</v>
      </c>
      <c r="L57" s="98" t="str">
        <f>HYPERLINK("https://drive.google.com/folderview?id=0B21eH2QQLHcVRUNmZWttVnItLXc&amp;usp=sharing","ดาวน์โหลดเอกสารประกอบ")</f>
        <v>ดาวน์โหลดเอกสารประกอบ</v>
      </c>
      <c r="M57" s="98" t="str">
        <f>HYPERLINK("https://drive.google.com/folderview?id=0B21eH2QQLHcVOUtDUzBITFZycnc&amp;usp=sharing","ดาวน์โหลดเอกสารประกอบ")</f>
        <v>ดาวน์โหลดเอกสารประกอบ</v>
      </c>
      <c r="N57" s="98" t="str">
        <f>HYPERLINK("https://drive.google.com/folderview?id=0B21eH2QQLHcVTElUR1ktOGV1SWM&amp;usp=sharing","ดาวน์โหลดเอกสารประกอบ")</f>
        <v>ดาวน์โหลดเอกสารประกอบ</v>
      </c>
      <c r="O57" s="98" t="str">
        <f>HYPERLINK("https://drive.google.com/folderview?id=0B21eH2QQLHcVUFpxYnhCcGZVZW8&amp;usp=sharing","ดาวน์โหลดเอกสารประกอบ")</f>
        <v>ดาวน์โหลดเอกสารประกอบ</v>
      </c>
      <c r="P57" s="152" t="s">
        <v>195</v>
      </c>
      <c r="Q57" s="152" t="s">
        <v>195</v>
      </c>
      <c r="R57" s="152" t="s">
        <v>195</v>
      </c>
      <c r="S57" s="152" t="s">
        <v>195</v>
      </c>
      <c r="T57" s="152" t="s">
        <v>195</v>
      </c>
      <c r="U57" s="152" t="s">
        <v>195</v>
      </c>
      <c r="V57" s="152" t="s">
        <v>195</v>
      </c>
      <c r="W57" s="204"/>
      <c r="X57" s="3"/>
      <c r="Y57" s="3"/>
      <c r="Z57" s="3"/>
    </row>
    <row r="58">
      <c r="A58" s="27"/>
      <c r="B58" s="5" t="s">
        <v>3</v>
      </c>
      <c r="C58" s="5" t="s">
        <v>4</v>
      </c>
      <c r="D58" s="12" t="s">
        <v>5</v>
      </c>
      <c r="E58" s="5" t="s">
        <v>6</v>
      </c>
      <c r="F58" s="5" t="s">
        <v>8</v>
      </c>
      <c r="G58" s="5" t="s">
        <v>9</v>
      </c>
      <c r="H58" s="5" t="s">
        <v>10</v>
      </c>
      <c r="I58" s="5" t="s">
        <v>11</v>
      </c>
      <c r="J58" s="5" t="s">
        <v>12</v>
      </c>
      <c r="K58" s="5" t="s">
        <v>13</v>
      </c>
      <c r="L58" s="5" t="s">
        <v>14</v>
      </c>
      <c r="M58" s="5" t="s">
        <v>15</v>
      </c>
      <c r="N58" s="5" t="s">
        <v>16</v>
      </c>
      <c r="O58" s="5" t="s">
        <v>17</v>
      </c>
      <c r="P58" s="5" t="s">
        <v>18</v>
      </c>
      <c r="Q58" s="5" t="s">
        <v>19</v>
      </c>
      <c r="R58" s="5" t="s">
        <v>20</v>
      </c>
      <c r="S58" s="5" t="s">
        <v>21</v>
      </c>
      <c r="T58" s="5" t="s">
        <v>22</v>
      </c>
      <c r="U58" s="5" t="s">
        <v>23</v>
      </c>
      <c r="V58" s="5" t="s">
        <v>24</v>
      </c>
      <c r="W58" s="3"/>
      <c r="X58" s="3"/>
      <c r="Y58" s="3"/>
      <c r="Z58" s="3"/>
    </row>
    <row r="59">
      <c r="A59" s="27"/>
      <c r="B59" s="13" t="s">
        <v>179</v>
      </c>
      <c r="C59" s="141" t="s">
        <v>2626</v>
      </c>
      <c r="D59" s="141" t="s">
        <v>2627</v>
      </c>
      <c r="E59" s="141" t="s">
        <v>2627</v>
      </c>
      <c r="F59" s="141" t="s">
        <v>2628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3"/>
      <c r="X59" s="3"/>
      <c r="Y59" s="3"/>
      <c r="Z59" s="3"/>
    </row>
    <row r="60" ht="30.0" customHeight="1">
      <c r="A60" s="27"/>
      <c r="B60" s="29"/>
      <c r="C60" s="171" t="s">
        <v>2629</v>
      </c>
      <c r="D60" s="171" t="s">
        <v>2630</v>
      </c>
      <c r="E60" s="171" t="s">
        <v>2631</v>
      </c>
      <c r="F60" s="171" t="s">
        <v>737</v>
      </c>
      <c r="G60" s="171" t="s">
        <v>2632</v>
      </c>
      <c r="H60" s="171" t="s">
        <v>2633</v>
      </c>
      <c r="I60" s="171" t="s">
        <v>2634</v>
      </c>
      <c r="J60" s="171" t="s">
        <v>2635</v>
      </c>
      <c r="K60" s="171" t="s">
        <v>2636</v>
      </c>
      <c r="L60" s="171" t="s">
        <v>2637</v>
      </c>
      <c r="M60" s="171" t="s">
        <v>2361</v>
      </c>
      <c r="N60" s="171" t="s">
        <v>2361</v>
      </c>
      <c r="O60" s="171" t="s">
        <v>2361</v>
      </c>
      <c r="P60" s="171" t="s">
        <v>2361</v>
      </c>
      <c r="Q60" s="171" t="s">
        <v>2361</v>
      </c>
      <c r="R60" s="171" t="s">
        <v>2361</v>
      </c>
      <c r="S60" s="171" t="s">
        <v>2361</v>
      </c>
      <c r="T60" s="171" t="s">
        <v>2361</v>
      </c>
      <c r="U60" s="171" t="s">
        <v>2361</v>
      </c>
      <c r="V60" s="171" t="s">
        <v>2361</v>
      </c>
      <c r="W60" s="49"/>
      <c r="X60" s="3"/>
      <c r="Y60" s="3"/>
      <c r="Z60" s="3"/>
    </row>
    <row r="61">
      <c r="A61" s="27"/>
      <c r="B61" s="29"/>
      <c r="C61" s="75" t="s">
        <v>2638</v>
      </c>
      <c r="D61" s="75" t="s">
        <v>2639</v>
      </c>
      <c r="E61" s="75" t="s">
        <v>2639</v>
      </c>
      <c r="F61" s="75" t="s">
        <v>2639</v>
      </c>
      <c r="G61" s="75" t="s">
        <v>2638</v>
      </c>
      <c r="H61" s="75" t="s">
        <v>2638</v>
      </c>
      <c r="I61" s="75" t="s">
        <v>2559</v>
      </c>
      <c r="J61" s="75" t="s">
        <v>2559</v>
      </c>
      <c r="K61" s="75" t="s">
        <v>2559</v>
      </c>
      <c r="L61" s="75" t="s">
        <v>2559</v>
      </c>
      <c r="M61" s="75"/>
      <c r="N61" s="75"/>
      <c r="O61" s="10"/>
      <c r="P61" s="75"/>
      <c r="Q61" s="75"/>
      <c r="R61" s="10"/>
      <c r="S61" s="10"/>
      <c r="T61" s="75"/>
      <c r="U61" s="75"/>
      <c r="V61" s="10"/>
      <c r="W61" s="3"/>
      <c r="X61" s="3"/>
      <c r="Y61" s="3"/>
      <c r="Z61" s="3"/>
    </row>
    <row r="62">
      <c r="A62" s="27"/>
      <c r="B62" s="29"/>
      <c r="C62" s="75" t="s">
        <v>2640</v>
      </c>
      <c r="D62" s="75" t="s">
        <v>2641</v>
      </c>
      <c r="E62" s="75" t="s">
        <v>2641</v>
      </c>
      <c r="F62" s="75" t="s">
        <v>2641</v>
      </c>
      <c r="G62" s="75" t="s">
        <v>2640</v>
      </c>
      <c r="H62" s="75" t="s">
        <v>2640</v>
      </c>
      <c r="I62" s="75" t="s">
        <v>2562</v>
      </c>
      <c r="J62" s="75" t="s">
        <v>2562</v>
      </c>
      <c r="K62" s="75" t="s">
        <v>2562</v>
      </c>
      <c r="L62" s="75" t="s">
        <v>2562</v>
      </c>
      <c r="M62" s="75"/>
      <c r="N62" s="75"/>
      <c r="O62" s="10"/>
      <c r="P62" s="75"/>
      <c r="Q62" s="75"/>
      <c r="R62" s="10"/>
      <c r="S62" s="10"/>
      <c r="T62" s="75"/>
      <c r="U62" s="75"/>
      <c r="V62" s="10"/>
      <c r="W62" s="3"/>
      <c r="X62" s="3"/>
      <c r="Y62" s="3"/>
      <c r="Z62" s="3"/>
    </row>
    <row r="63">
      <c r="A63" s="27"/>
      <c r="B63" s="29"/>
      <c r="C63" s="75" t="s">
        <v>105</v>
      </c>
      <c r="D63" s="75" t="s">
        <v>105</v>
      </c>
      <c r="E63" s="75" t="s">
        <v>105</v>
      </c>
      <c r="F63" s="75" t="s">
        <v>105</v>
      </c>
      <c r="G63" s="75" t="s">
        <v>105</v>
      </c>
      <c r="H63" s="75" t="s">
        <v>105</v>
      </c>
      <c r="I63" s="75" t="s">
        <v>2563</v>
      </c>
      <c r="J63" s="75" t="s">
        <v>2563</v>
      </c>
      <c r="K63" s="75" t="s">
        <v>2563</v>
      </c>
      <c r="L63" s="75" t="s">
        <v>2563</v>
      </c>
      <c r="M63" s="75"/>
      <c r="N63" s="75"/>
      <c r="O63" s="10"/>
      <c r="P63" s="75"/>
      <c r="Q63" s="75"/>
      <c r="R63" s="10"/>
      <c r="S63" s="10"/>
      <c r="T63" s="75"/>
      <c r="U63" s="75"/>
      <c r="V63" s="10"/>
      <c r="W63" s="3"/>
      <c r="X63" s="3"/>
      <c r="Y63" s="3"/>
      <c r="Z63" s="3"/>
    </row>
    <row r="64">
      <c r="A64" s="27"/>
      <c r="B64" s="29"/>
      <c r="C64" s="91" t="s">
        <v>2642</v>
      </c>
      <c r="D64" s="91" t="s">
        <v>740</v>
      </c>
      <c r="E64" s="91" t="s">
        <v>741</v>
      </c>
      <c r="F64" s="91" t="s">
        <v>742</v>
      </c>
      <c r="G64" s="326" t="s">
        <v>2643</v>
      </c>
      <c r="H64" s="91" t="s">
        <v>2644</v>
      </c>
      <c r="I64" s="91" t="s">
        <v>2645</v>
      </c>
      <c r="J64" s="91" t="s">
        <v>2646</v>
      </c>
      <c r="K64" s="91" t="s">
        <v>2647</v>
      </c>
      <c r="L64" s="91" t="s">
        <v>2648</v>
      </c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3"/>
      <c r="X64" s="3"/>
      <c r="Y64" s="3"/>
      <c r="Z64" s="3"/>
    </row>
    <row r="65">
      <c r="A65" s="27"/>
      <c r="B65" s="79"/>
      <c r="C65" s="129" t="s">
        <v>31</v>
      </c>
      <c r="D65" s="110" t="str">
        <f>HYPERLINK("https://drive.google.com/folderview?id=0B5wB609c0oF0fnNGWTRhY3p6QlVSWlgwTGs5Y3Jzc1dqdXFhS1gzX3dUdWpVT1RjOTV6Q2s&amp;usp=sharing","ดาวน์โหลดเอกสารประกอบ")</f>
        <v>ดาวน์โหลดเอกสารประกอบ</v>
      </c>
      <c r="E65" s="83" t="str">
        <f>HYPERLINK("https://drive.google.com/folderview?id=0B5wB609c0oF0fjFfcFd2WDA1MUxTOG9uQlp0LTVyLUhaOURBQURneUJpVDhfUmwwSEozVkk&amp;usp=sharing","ดาวน์โหลดเอกสารประกอบ")</f>
        <v>ดาวน์โหลดเอกสารประกอบ</v>
      </c>
      <c r="F65" s="83" t="str">
        <f>HYPERLINK("https://drive.google.com/folderview?id=0B5wB609c0oF0fmFlQzhrbWhoNTFvU1d4SUFWSlhJNzdFZWxqME9TbENJXzNUM1REV0JCZzA&amp;usp=sharing","ดาวน์โหลดเอกสารประกอบ")</f>
        <v>ดาวน์โหลดเอกสารประกอบ</v>
      </c>
      <c r="G65" s="94" t="s">
        <v>31</v>
      </c>
      <c r="H65" s="152" t="s">
        <v>31</v>
      </c>
      <c r="I65" s="98" t="str">
        <f>HYPERLINK("https://drive.google.com/folderview?id=0B21eH2QQLHcVMkJUVG5GeE9GTmM&amp;usp=sharing","ดาวน์โหลดเอกสารประกอบ")</f>
        <v>ดาวน์โหลดเอกสารประกอบ</v>
      </c>
      <c r="J65" s="98" t="str">
        <f>HYPERLINK("https://drive.google.com/folderview?id=0B21eH2QQLHcVRkEyTEEyVWtpUEU&amp;usp=sharing","ดาวน์โหลดเอกสารประกอบ")</f>
        <v>ดาวน์โหลดเอกสารประกอบ</v>
      </c>
      <c r="K65" s="152" t="s">
        <v>31</v>
      </c>
      <c r="L65" s="152" t="s">
        <v>31</v>
      </c>
      <c r="M65" s="152" t="s">
        <v>195</v>
      </c>
      <c r="N65" s="152" t="s">
        <v>195</v>
      </c>
      <c r="O65" s="152" t="s">
        <v>195</v>
      </c>
      <c r="P65" s="152" t="s">
        <v>195</v>
      </c>
      <c r="Q65" s="152" t="s">
        <v>195</v>
      </c>
      <c r="R65" s="152" t="s">
        <v>195</v>
      </c>
      <c r="S65" s="152" t="s">
        <v>195</v>
      </c>
      <c r="T65" s="152" t="s">
        <v>195</v>
      </c>
      <c r="U65" s="152" t="s">
        <v>195</v>
      </c>
      <c r="V65" s="152" t="s">
        <v>195</v>
      </c>
      <c r="W65" s="204"/>
      <c r="X65" s="3"/>
      <c r="Y65" s="3"/>
      <c r="Z65" s="3"/>
    </row>
    <row r="66">
      <c r="A66" s="27"/>
      <c r="B66" s="5" t="s">
        <v>3</v>
      </c>
      <c r="C66" s="5" t="s">
        <v>4</v>
      </c>
      <c r="D66" s="12" t="s">
        <v>5</v>
      </c>
      <c r="E66" s="5" t="s">
        <v>6</v>
      </c>
      <c r="F66" s="5" t="s">
        <v>8</v>
      </c>
      <c r="G66" s="5" t="s">
        <v>9</v>
      </c>
      <c r="H66" s="5" t="s">
        <v>10</v>
      </c>
      <c r="I66" s="5" t="s">
        <v>11</v>
      </c>
      <c r="J66" s="5" t="s">
        <v>12</v>
      </c>
      <c r="K66" s="5" t="s">
        <v>13</v>
      </c>
      <c r="L66" s="5" t="s">
        <v>14</v>
      </c>
      <c r="M66" s="5" t="s">
        <v>15</v>
      </c>
      <c r="N66" s="5" t="s">
        <v>16</v>
      </c>
      <c r="O66" s="5" t="s">
        <v>17</v>
      </c>
      <c r="P66" s="5" t="s">
        <v>18</v>
      </c>
      <c r="Q66" s="5" t="s">
        <v>19</v>
      </c>
      <c r="R66" s="5" t="s">
        <v>20</v>
      </c>
      <c r="S66" s="5" t="s">
        <v>21</v>
      </c>
      <c r="T66" s="5" t="s">
        <v>22</v>
      </c>
      <c r="U66" s="5" t="s">
        <v>23</v>
      </c>
      <c r="V66" s="5" t="s">
        <v>24</v>
      </c>
      <c r="W66" s="3"/>
      <c r="X66" s="3"/>
      <c r="Y66" s="3"/>
      <c r="Z66" s="3"/>
    </row>
    <row r="67">
      <c r="A67" s="27"/>
      <c r="B67" s="13" t="s">
        <v>184</v>
      </c>
      <c r="C67" s="19"/>
      <c r="D67" s="21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0"/>
      <c r="U67" s="10"/>
      <c r="V67" s="10"/>
      <c r="W67" s="3"/>
      <c r="X67" s="3"/>
      <c r="Y67" s="3"/>
      <c r="Z67" s="3"/>
    </row>
    <row r="68" ht="52.5" customHeight="1">
      <c r="A68" s="27"/>
      <c r="B68" s="29"/>
      <c r="C68" s="171" t="s">
        <v>2675</v>
      </c>
      <c r="D68" s="171" t="s">
        <v>2676</v>
      </c>
      <c r="E68" s="171" t="s">
        <v>2677</v>
      </c>
      <c r="F68" s="171" t="s">
        <v>2678</v>
      </c>
      <c r="G68" s="171" t="s">
        <v>2679</v>
      </c>
      <c r="H68" s="171" t="s">
        <v>2680</v>
      </c>
      <c r="I68" s="171" t="s">
        <v>2682</v>
      </c>
      <c r="J68" s="171" t="s">
        <v>2683</v>
      </c>
      <c r="K68" s="171" t="s">
        <v>2684</v>
      </c>
      <c r="L68" s="171" t="s">
        <v>2685</v>
      </c>
      <c r="M68" s="171" t="s">
        <v>2686</v>
      </c>
      <c r="N68" s="171" t="s">
        <v>2687</v>
      </c>
      <c r="O68" s="171" t="s">
        <v>2688</v>
      </c>
      <c r="P68" s="171" t="s">
        <v>2361</v>
      </c>
      <c r="Q68" s="171" t="s">
        <v>2361</v>
      </c>
      <c r="R68" s="171" t="s">
        <v>2361</v>
      </c>
      <c r="S68" s="171" t="s">
        <v>2361</v>
      </c>
      <c r="T68" s="171" t="s">
        <v>2361</v>
      </c>
      <c r="U68" s="171" t="s">
        <v>2361</v>
      </c>
      <c r="V68" s="171" t="s">
        <v>2361</v>
      </c>
      <c r="W68" s="3"/>
      <c r="X68" s="3"/>
      <c r="Y68" s="3"/>
      <c r="Z68" s="3"/>
    </row>
    <row r="69">
      <c r="A69" s="27"/>
      <c r="B69" s="29"/>
      <c r="C69" s="52" t="s">
        <v>2689</v>
      </c>
      <c r="D69" s="54" t="s">
        <v>2689</v>
      </c>
      <c r="E69" s="54" t="s">
        <v>2689</v>
      </c>
      <c r="F69" s="75" t="s">
        <v>2690</v>
      </c>
      <c r="G69" s="75" t="s">
        <v>2690</v>
      </c>
      <c r="H69" s="75" t="s">
        <v>2690</v>
      </c>
      <c r="I69" s="75" t="s">
        <v>2690</v>
      </c>
      <c r="J69" s="75" t="s">
        <v>2691</v>
      </c>
      <c r="K69" s="75" t="s">
        <v>2692</v>
      </c>
      <c r="L69" s="75" t="s">
        <v>2693</v>
      </c>
      <c r="M69" s="75" t="s">
        <v>2693</v>
      </c>
      <c r="N69" s="75" t="s">
        <v>2693</v>
      </c>
      <c r="O69" s="75" t="s">
        <v>2693</v>
      </c>
      <c r="P69" s="10"/>
      <c r="Q69" s="10"/>
      <c r="R69" s="10"/>
      <c r="S69" s="10"/>
      <c r="T69" s="10"/>
      <c r="U69" s="10"/>
      <c r="V69" s="10"/>
      <c r="W69" s="3"/>
      <c r="X69" s="3"/>
      <c r="Y69" s="3"/>
      <c r="Z69" s="3"/>
    </row>
    <row r="70">
      <c r="A70" s="27"/>
      <c r="B70" s="29"/>
      <c r="C70" s="52" t="s">
        <v>2694</v>
      </c>
      <c r="D70" s="54" t="s">
        <v>2694</v>
      </c>
      <c r="E70" s="54" t="s">
        <v>2694</v>
      </c>
      <c r="F70" s="75" t="s">
        <v>2695</v>
      </c>
      <c r="G70" s="75" t="s">
        <v>2695</v>
      </c>
      <c r="H70" s="75" t="s">
        <v>2695</v>
      </c>
      <c r="I70" s="75" t="s">
        <v>2695</v>
      </c>
      <c r="J70" s="75" t="s">
        <v>1104</v>
      </c>
      <c r="K70" s="75" t="s">
        <v>1104</v>
      </c>
      <c r="L70" s="54" t="s">
        <v>1882</v>
      </c>
      <c r="M70" s="54" t="s">
        <v>1882</v>
      </c>
      <c r="N70" s="54" t="s">
        <v>1882</v>
      </c>
      <c r="O70" s="54" t="s">
        <v>1882</v>
      </c>
      <c r="P70" s="10"/>
      <c r="Q70" s="10"/>
      <c r="R70" s="10"/>
      <c r="S70" s="10"/>
      <c r="T70" s="10"/>
      <c r="U70" s="10"/>
      <c r="V70" s="10"/>
      <c r="W70" s="3"/>
      <c r="X70" s="3"/>
      <c r="Y70" s="3"/>
      <c r="Z70" s="3"/>
    </row>
    <row r="71">
      <c r="A71" s="27"/>
      <c r="B71" s="29"/>
      <c r="C71" s="52" t="s">
        <v>105</v>
      </c>
      <c r="D71" s="54" t="s">
        <v>105</v>
      </c>
      <c r="E71" s="54" t="s">
        <v>105</v>
      </c>
      <c r="F71" s="75" t="s">
        <v>105</v>
      </c>
      <c r="G71" s="75" t="s">
        <v>105</v>
      </c>
      <c r="H71" s="75" t="s">
        <v>105</v>
      </c>
      <c r="I71" s="75" t="s">
        <v>105</v>
      </c>
      <c r="J71" s="75" t="s">
        <v>1107</v>
      </c>
      <c r="K71" s="75" t="s">
        <v>1107</v>
      </c>
      <c r="L71" s="54" t="s">
        <v>105</v>
      </c>
      <c r="M71" s="54" t="s">
        <v>105</v>
      </c>
      <c r="N71" s="54" t="s">
        <v>105</v>
      </c>
      <c r="O71" s="54" t="s">
        <v>105</v>
      </c>
      <c r="P71" s="10"/>
      <c r="Q71" s="10"/>
      <c r="R71" s="10"/>
      <c r="S71" s="10"/>
      <c r="T71" s="10"/>
      <c r="U71" s="10"/>
      <c r="V71" s="10"/>
      <c r="W71" s="3"/>
      <c r="X71" s="3"/>
      <c r="Y71" s="3"/>
      <c r="Z71" s="3"/>
    </row>
    <row r="72">
      <c r="A72" s="27"/>
      <c r="B72" s="29"/>
      <c r="C72" s="237" t="s">
        <v>2699</v>
      </c>
      <c r="D72" s="91" t="s">
        <v>2701</v>
      </c>
      <c r="E72" s="91" t="s">
        <v>2703</v>
      </c>
      <c r="F72" s="91" t="s">
        <v>2705</v>
      </c>
      <c r="G72" s="91" t="s">
        <v>2708</v>
      </c>
      <c r="H72" s="91" t="s">
        <v>2711</v>
      </c>
      <c r="I72" s="91" t="s">
        <v>2714</v>
      </c>
      <c r="J72" s="91" t="s">
        <v>2716</v>
      </c>
      <c r="K72" s="91" t="s">
        <v>2718</v>
      </c>
      <c r="L72" s="91" t="s">
        <v>2720</v>
      </c>
      <c r="M72" s="91" t="s">
        <v>2722</v>
      </c>
      <c r="N72" s="91" t="s">
        <v>2724</v>
      </c>
      <c r="O72" s="91" t="s">
        <v>2726</v>
      </c>
      <c r="P72" s="211"/>
      <c r="Q72" s="211"/>
      <c r="R72" s="211"/>
      <c r="S72" s="211"/>
      <c r="T72" s="211"/>
      <c r="U72" s="211"/>
      <c r="V72" s="211"/>
      <c r="W72" s="3"/>
      <c r="X72" s="3"/>
      <c r="Y72" s="3"/>
      <c r="Z72" s="3"/>
    </row>
    <row r="73">
      <c r="A73" s="27"/>
      <c r="B73" s="79"/>
      <c r="C73" s="94" t="s">
        <v>31</v>
      </c>
      <c r="D73" s="152" t="s">
        <v>31</v>
      </c>
      <c r="E73" s="152" t="s">
        <v>31</v>
      </c>
      <c r="F73" s="152" t="s">
        <v>31</v>
      </c>
      <c r="G73" s="152" t="s">
        <v>31</v>
      </c>
      <c r="H73" s="152" t="s">
        <v>31</v>
      </c>
      <c r="I73" s="152" t="s">
        <v>31</v>
      </c>
      <c r="J73" s="98" t="str">
        <f>HYPERLINK("https://drive.google.com/folderview?id=0B21eH2QQLHcVZGQxMExSeGsyVWM&amp;usp=sharing","ดาวน์โหลดเอกสารประกอบ")</f>
        <v>ดาวน์โหลดเอกสารประกอบ</v>
      </c>
      <c r="K73" s="152" t="s">
        <v>31</v>
      </c>
      <c r="L73" s="152" t="s">
        <v>195</v>
      </c>
      <c r="M73" s="152" t="s">
        <v>195</v>
      </c>
      <c r="N73" s="152" t="s">
        <v>195</v>
      </c>
      <c r="O73" s="152" t="s">
        <v>195</v>
      </c>
      <c r="P73" s="152" t="s">
        <v>195</v>
      </c>
      <c r="Q73" s="152" t="s">
        <v>195</v>
      </c>
      <c r="R73" s="152" t="s">
        <v>195</v>
      </c>
      <c r="S73" s="152" t="s">
        <v>195</v>
      </c>
      <c r="T73" s="152" t="s">
        <v>195</v>
      </c>
      <c r="U73" s="152" t="s">
        <v>195</v>
      </c>
      <c r="V73" s="152" t="s">
        <v>195</v>
      </c>
      <c r="W73" s="3"/>
      <c r="X73" s="3"/>
      <c r="Y73" s="3"/>
      <c r="Z73" s="3"/>
    </row>
    <row r="74">
      <c r="A74" s="27"/>
      <c r="B74" s="5" t="s">
        <v>3</v>
      </c>
      <c r="C74" s="5" t="s">
        <v>4</v>
      </c>
      <c r="D74" s="12" t="s">
        <v>5</v>
      </c>
      <c r="E74" s="5" t="s">
        <v>6</v>
      </c>
      <c r="F74" s="5" t="s">
        <v>8</v>
      </c>
      <c r="G74" s="5" t="s">
        <v>9</v>
      </c>
      <c r="H74" s="5" t="s">
        <v>10</v>
      </c>
      <c r="I74" s="5" t="s">
        <v>11</v>
      </c>
      <c r="J74" s="5" t="s">
        <v>12</v>
      </c>
      <c r="K74" s="5" t="s">
        <v>13</v>
      </c>
      <c r="L74" s="5" t="s">
        <v>14</v>
      </c>
      <c r="M74" s="5" t="s">
        <v>15</v>
      </c>
      <c r="N74" s="5" t="s">
        <v>16</v>
      </c>
      <c r="O74" s="5" t="s">
        <v>17</v>
      </c>
      <c r="P74" s="5" t="s">
        <v>18</v>
      </c>
      <c r="Q74" s="5" t="s">
        <v>19</v>
      </c>
      <c r="R74" s="5" t="s">
        <v>20</v>
      </c>
      <c r="S74" s="5" t="s">
        <v>21</v>
      </c>
      <c r="T74" s="5" t="s">
        <v>22</v>
      </c>
      <c r="U74" s="5" t="s">
        <v>23</v>
      </c>
      <c r="V74" s="5" t="s">
        <v>24</v>
      </c>
      <c r="W74" s="3"/>
      <c r="X74" s="3"/>
      <c r="Y74" s="3"/>
      <c r="Z74" s="3"/>
    </row>
    <row r="75">
      <c r="A75" s="27"/>
      <c r="B75" s="248" t="s">
        <v>196</v>
      </c>
      <c r="C75" s="19"/>
      <c r="D75" s="19"/>
      <c r="E75" s="19"/>
      <c r="F75" s="21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0"/>
      <c r="W75" s="3"/>
      <c r="X75" s="3"/>
      <c r="Y75" s="3"/>
      <c r="Z75" s="3"/>
    </row>
    <row r="76" ht="30.0" customHeight="1">
      <c r="A76" s="27"/>
      <c r="B76" s="29"/>
      <c r="C76" s="171" t="s">
        <v>2727</v>
      </c>
      <c r="D76" s="171" t="s">
        <v>2728</v>
      </c>
      <c r="E76" s="171" t="s">
        <v>2729</v>
      </c>
      <c r="F76" s="171" t="s">
        <v>2730</v>
      </c>
      <c r="G76" s="171" t="s">
        <v>2731</v>
      </c>
      <c r="H76" s="171" t="s">
        <v>2732</v>
      </c>
      <c r="I76" s="171" t="s">
        <v>2733</v>
      </c>
      <c r="J76" s="171" t="s">
        <v>2734</v>
      </c>
      <c r="K76" s="171" t="s">
        <v>2735</v>
      </c>
      <c r="L76" s="171" t="s">
        <v>2736</v>
      </c>
      <c r="M76" s="171" t="s">
        <v>2737</v>
      </c>
      <c r="N76" s="171" t="s">
        <v>2738</v>
      </c>
      <c r="O76" s="171" t="s">
        <v>2739</v>
      </c>
      <c r="P76" s="171" t="s">
        <v>2740</v>
      </c>
      <c r="Q76" s="171" t="s">
        <v>2741</v>
      </c>
      <c r="R76" s="171" t="s">
        <v>2361</v>
      </c>
      <c r="S76" s="171" t="s">
        <v>2361</v>
      </c>
      <c r="T76" s="171" t="s">
        <v>2361</v>
      </c>
      <c r="U76" s="171" t="s">
        <v>2361</v>
      </c>
      <c r="V76" s="171" t="s">
        <v>2361</v>
      </c>
      <c r="W76" s="3"/>
      <c r="X76" s="3"/>
      <c r="Y76" s="3"/>
      <c r="Z76" s="3"/>
    </row>
    <row r="77">
      <c r="A77" s="27"/>
      <c r="B77" s="29"/>
      <c r="C77" s="75" t="s">
        <v>2742</v>
      </c>
      <c r="D77" s="52" t="s">
        <v>2743</v>
      </c>
      <c r="E77" s="52" t="s">
        <v>2743</v>
      </c>
      <c r="F77" s="54" t="s">
        <v>2743</v>
      </c>
      <c r="G77" s="203" t="s">
        <v>2743</v>
      </c>
      <c r="H77" s="203" t="s">
        <v>2744</v>
      </c>
      <c r="I77" s="203" t="s">
        <v>2744</v>
      </c>
      <c r="J77" s="52" t="s">
        <v>2743</v>
      </c>
      <c r="K77" s="52" t="s">
        <v>2743</v>
      </c>
      <c r="L77" s="52" t="s">
        <v>2743</v>
      </c>
      <c r="M77" s="54" t="s">
        <v>2745</v>
      </c>
      <c r="N77" s="54" t="s">
        <v>2745</v>
      </c>
      <c r="O77" s="54" t="s">
        <v>2745</v>
      </c>
      <c r="P77" s="54" t="s">
        <v>2745</v>
      </c>
      <c r="Q77" s="54" t="s">
        <v>2745</v>
      </c>
      <c r="R77" s="10"/>
      <c r="S77" s="10"/>
      <c r="T77" s="10"/>
      <c r="U77" s="10"/>
      <c r="V77" s="10"/>
      <c r="W77" s="3"/>
      <c r="X77" s="3"/>
      <c r="Y77" s="3"/>
      <c r="Z77" s="3"/>
    </row>
    <row r="78">
      <c r="A78" s="27"/>
      <c r="B78" s="29"/>
      <c r="C78" s="203" t="s">
        <v>2746</v>
      </c>
      <c r="D78" s="52" t="s">
        <v>2746</v>
      </c>
      <c r="E78" s="52" t="s">
        <v>2746</v>
      </c>
      <c r="F78" s="54" t="s">
        <v>2746</v>
      </c>
      <c r="G78" s="203" t="s">
        <v>2746</v>
      </c>
      <c r="H78" s="203" t="s">
        <v>2746</v>
      </c>
      <c r="I78" s="203" t="s">
        <v>2746</v>
      </c>
      <c r="J78" s="52" t="s">
        <v>2746</v>
      </c>
      <c r="K78" s="52" t="s">
        <v>2746</v>
      </c>
      <c r="L78" s="52" t="s">
        <v>2746</v>
      </c>
      <c r="M78" s="54" t="s">
        <v>1882</v>
      </c>
      <c r="N78" s="54" t="s">
        <v>1882</v>
      </c>
      <c r="O78" s="54" t="s">
        <v>1882</v>
      </c>
      <c r="P78" s="54" t="s">
        <v>1882</v>
      </c>
      <c r="Q78" s="54" t="s">
        <v>1882</v>
      </c>
      <c r="R78" s="10"/>
      <c r="S78" s="10"/>
      <c r="T78" s="10"/>
      <c r="U78" s="10"/>
      <c r="V78" s="10"/>
      <c r="W78" s="3"/>
      <c r="X78" s="3"/>
      <c r="Y78" s="3"/>
      <c r="Z78" s="3"/>
    </row>
    <row r="79">
      <c r="A79" s="27"/>
      <c r="B79" s="29"/>
      <c r="C79" s="203" t="s">
        <v>107</v>
      </c>
      <c r="D79" s="52" t="s">
        <v>107</v>
      </c>
      <c r="E79" s="52" t="s">
        <v>107</v>
      </c>
      <c r="F79" s="54" t="s">
        <v>107</v>
      </c>
      <c r="G79" s="203" t="s">
        <v>107</v>
      </c>
      <c r="H79" s="203" t="s">
        <v>107</v>
      </c>
      <c r="I79" s="203" t="s">
        <v>107</v>
      </c>
      <c r="J79" s="52" t="s">
        <v>107</v>
      </c>
      <c r="K79" s="52" t="s">
        <v>107</v>
      </c>
      <c r="L79" s="52" t="s">
        <v>107</v>
      </c>
      <c r="M79" s="54" t="s">
        <v>105</v>
      </c>
      <c r="N79" s="54" t="s">
        <v>105</v>
      </c>
      <c r="O79" s="54" t="s">
        <v>105</v>
      </c>
      <c r="P79" s="54" t="s">
        <v>105</v>
      </c>
      <c r="Q79" s="54" t="s">
        <v>105</v>
      </c>
      <c r="R79" s="10"/>
      <c r="S79" s="10"/>
      <c r="T79" s="10"/>
      <c r="U79" s="10"/>
      <c r="V79" s="10"/>
      <c r="W79" s="3"/>
      <c r="X79" s="3"/>
      <c r="Y79" s="3"/>
      <c r="Z79" s="3"/>
    </row>
    <row r="80">
      <c r="A80" s="27"/>
      <c r="B80" s="29"/>
      <c r="C80" s="98" t="s">
        <v>2747</v>
      </c>
      <c r="D80" s="91" t="s">
        <v>2748</v>
      </c>
      <c r="E80" s="91" t="s">
        <v>2749</v>
      </c>
      <c r="F80" s="91" t="s">
        <v>2750</v>
      </c>
      <c r="G80" s="91" t="s">
        <v>2751</v>
      </c>
      <c r="H80" s="91" t="s">
        <v>2752</v>
      </c>
      <c r="I80" s="91" t="s">
        <v>2755</v>
      </c>
      <c r="J80" s="91" t="s">
        <v>2761</v>
      </c>
      <c r="K80" s="91" t="s">
        <v>2764</v>
      </c>
      <c r="L80" s="91" t="s">
        <v>2765</v>
      </c>
      <c r="M80" s="91" t="s">
        <v>2766</v>
      </c>
      <c r="N80" s="91" t="s">
        <v>2771</v>
      </c>
      <c r="O80" s="91" t="s">
        <v>2778</v>
      </c>
      <c r="P80" s="91" t="s">
        <v>2780</v>
      </c>
      <c r="Q80" s="91" t="s">
        <v>2781</v>
      </c>
      <c r="R80" s="211"/>
      <c r="S80" s="211"/>
      <c r="T80" s="211"/>
      <c r="U80" s="211"/>
      <c r="V80" s="211"/>
      <c r="W80" s="3"/>
      <c r="X80" s="3"/>
      <c r="Y80" s="3"/>
      <c r="Z80" s="3"/>
    </row>
    <row r="81">
      <c r="A81" s="27"/>
      <c r="B81" s="79"/>
      <c r="C81" s="152" t="s">
        <v>31</v>
      </c>
      <c r="D81" s="98" t="str">
        <f>HYPERLINK("https://drive.google.com/folderview?id=0B5wB609c0oF0fmltYVdVc19FN2M2MHVzSHNWMmVFdlZfRVlYM194SmVaX09ZamVmSHllUHc&amp;usp=sharing ","ดาวน์โหลดเอกสารประกอบ")</f>
        <v>ดาวน์โหลดเอกสารประกอบ</v>
      </c>
      <c r="E81" s="98" t="str">
        <f>HYPERLINK("https://drive.google.com/folderview?id=0B5wB609c0oF0fjV3b0JwcmRoVHR1ZVdWX0V3VjRGSkNWUnQ0b1EyUk9HYTUzbnBkUmRuOHc&amp;usp=sharing","ดาวน์โหลดเอกสารประกอบ")</f>
        <v>ดาวน์โหลดเอกสารประกอบ</v>
      </c>
      <c r="F81" s="152" t="s">
        <v>31</v>
      </c>
      <c r="G81" s="98" t="str">
        <f>HYPERLINK("https://drive.google.com/folderview?id=0B5wB609c0oF0fjRuM3BtaGZ3T3pCbDdnX1p3dXhNcWtPSzZsU1lTYUZReERGQ3l5ZmhvZW8&amp;usp=sharing","ดาวน์โหลดเอกสารประกอบ")</f>
        <v>ดาวน์โหลดเอกสารประกอบ</v>
      </c>
      <c r="H81" s="152" t="s">
        <v>31</v>
      </c>
      <c r="I81" s="98" t="str">
        <f>HYPERLINK("https://drive.google.com/folderview?id=0B5wB609c0oF0fmNsUGtHZXp0RFNlV0VMckVJMFpxZGV6Vnpmb1dFaHQxbE5KSzJBa0JMTFU&amp;usp=sharing-","ดาวน์โหลดเอกสารประกอบ")</f>
        <v>ดาวน์โหลดเอกสารประกอบ</v>
      </c>
      <c r="J81" s="98" t="str">
        <f>HYPERLINK("https://drive.google.com/folderview?id=0B5wB609c0oF0fng4TUlmU3RNeFZxVElCOHRfcFN4UlFYZmU1STg2SlcxUVFnOVdxaHc4MHM&amp;usp=sharing","ดาวน์โหลดเอกสารประกอบ")</f>
        <v>ดาวน์โหลดเอกสารประกอบ</v>
      </c>
      <c r="K81" s="98" t="str">
        <f>HYPERLINK("https://drive.google.com/folderview?id=0B5wB609c0oF0fk5VeVBJUWNsOWdvdm5mREJVcm1uR3dWVXFhVG5PRnU2ZFpBY0hYRnVrMlk&amp;usp=sharing","ดาวน์โหลดเอกสารประกอบ")</f>
        <v>ดาวน์โหลดเอกสารประกอบ</v>
      </c>
      <c r="L81" s="98" t="str">
        <f>HYPERLINK("https://drive.google.com/folderview?id=0B5wB609c0oF0fk5jdHFmbGVVN3NSZTR0eHNYN0ZvUTNMZzlXWWx5Um9MZWVXWVAybmg5VFk&amp;usp=sharing","ดาวน์โหลดเอกสารประกอบ")</f>
        <v>ดาวน์โหลดเอกสารประกอบ</v>
      </c>
      <c r="M81" s="98" t="str">
        <f t="shared" ref="M81:N81" si="2">HYPERLINK("https://drive.google.com/folderview?id=0B21eH2QQLHcVZWNzNnY4V0RpaVU&amp;usp=sharing","ดาวน์โหลดเอกสารประกอบ")</f>
        <v>ดาวน์โหลดเอกสารประกอบ</v>
      </c>
      <c r="N81" s="98" t="str">
        <f t="shared" si="2"/>
        <v>ดาวน์โหลดเอกสารประกอบ</v>
      </c>
      <c r="O81" s="98" t="str">
        <f t="shared" ref="O81:P81" si="3">HYPERLINK("https://drive.google.com/folderview?id=0B21eH2QQLHcVMzUtRmZoUnBXQVU&amp;usp=sharing","ดาวน์โหลดเอกสารประกอบ")</f>
        <v>ดาวน์โหลดเอกสารประกอบ</v>
      </c>
      <c r="P81" s="98" t="str">
        <f t="shared" si="3"/>
        <v>ดาวน์โหลดเอกสารประกอบ</v>
      </c>
      <c r="Q81" s="98" t="str">
        <f>HYPERLINK("https://drive.google.com/folderview?id=0B21eH2QQLHcVYVliX2c4QnFPRnc&amp;usp=sharing","ดาวน์โหลดเอกสารประกอบ")</f>
        <v>ดาวน์โหลดเอกสารประกอบ</v>
      </c>
      <c r="R81" s="152" t="s">
        <v>195</v>
      </c>
      <c r="S81" s="152" t="s">
        <v>195</v>
      </c>
      <c r="T81" s="152" t="s">
        <v>195</v>
      </c>
      <c r="U81" s="152" t="s">
        <v>195</v>
      </c>
      <c r="V81" s="152" t="s">
        <v>195</v>
      </c>
      <c r="W81" s="3"/>
      <c r="X81" s="3"/>
      <c r="Y81" s="3"/>
      <c r="Z81" s="3"/>
    </row>
    <row r="82">
      <c r="A82" s="27"/>
      <c r="B82" s="5" t="s">
        <v>3</v>
      </c>
      <c r="C82" s="5" t="s">
        <v>4</v>
      </c>
      <c r="D82" s="12" t="s">
        <v>5</v>
      </c>
      <c r="E82" s="5" t="s">
        <v>6</v>
      </c>
      <c r="F82" s="5" t="s">
        <v>8</v>
      </c>
      <c r="G82" s="5" t="s">
        <v>9</v>
      </c>
      <c r="H82" s="5" t="s">
        <v>10</v>
      </c>
      <c r="I82" s="5" t="s">
        <v>11</v>
      </c>
      <c r="J82" s="5" t="s">
        <v>12</v>
      </c>
      <c r="K82" s="5" t="s">
        <v>13</v>
      </c>
      <c r="L82" s="5" t="s">
        <v>14</v>
      </c>
      <c r="M82" s="16" t="s">
        <v>15</v>
      </c>
      <c r="N82" s="5" t="s">
        <v>16</v>
      </c>
      <c r="O82" s="5" t="s">
        <v>17</v>
      </c>
      <c r="P82" s="5" t="s">
        <v>18</v>
      </c>
      <c r="Q82" s="5" t="s">
        <v>19</v>
      </c>
      <c r="R82" s="5" t="s">
        <v>20</v>
      </c>
      <c r="S82" s="5" t="s">
        <v>21</v>
      </c>
      <c r="T82" s="5" t="s">
        <v>22</v>
      </c>
      <c r="U82" s="5" t="s">
        <v>23</v>
      </c>
      <c r="V82" s="5" t="s">
        <v>24</v>
      </c>
      <c r="W82" s="3"/>
      <c r="X82" s="3"/>
      <c r="Y82" s="3"/>
      <c r="Z82" s="3"/>
    </row>
    <row r="83">
      <c r="A83" s="27"/>
      <c r="B83" s="13" t="s">
        <v>241</v>
      </c>
      <c r="C83" s="21"/>
      <c r="D83" s="21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3"/>
      <c r="X83" s="3"/>
      <c r="Y83" s="3"/>
      <c r="Z83" s="3"/>
    </row>
    <row r="84" ht="45.0" customHeight="1">
      <c r="A84" s="27"/>
      <c r="B84" s="29"/>
      <c r="C84" s="171" t="s">
        <v>2810</v>
      </c>
      <c r="D84" s="171" t="s">
        <v>2811</v>
      </c>
      <c r="E84" s="171" t="s">
        <v>2727</v>
      </c>
      <c r="F84" s="171" t="s">
        <v>2812</v>
      </c>
      <c r="G84" s="171" t="s">
        <v>2813</v>
      </c>
      <c r="H84" s="171" t="s">
        <v>2814</v>
      </c>
      <c r="I84" s="171" t="s">
        <v>2815</v>
      </c>
      <c r="J84" s="171" t="s">
        <v>2816</v>
      </c>
      <c r="K84" s="171" t="s">
        <v>2817</v>
      </c>
      <c r="L84" s="171" t="s">
        <v>2391</v>
      </c>
      <c r="M84" s="171" t="s">
        <v>2818</v>
      </c>
      <c r="N84" s="171" t="s">
        <v>2819</v>
      </c>
      <c r="O84" s="171" t="s">
        <v>2820</v>
      </c>
      <c r="P84" s="171" t="s">
        <v>2361</v>
      </c>
      <c r="Q84" s="171" t="s">
        <v>2361</v>
      </c>
      <c r="R84" s="171" t="s">
        <v>2361</v>
      </c>
      <c r="S84" s="171" t="s">
        <v>2361</v>
      </c>
      <c r="T84" s="171" t="s">
        <v>2361</v>
      </c>
      <c r="U84" s="171" t="s">
        <v>2361</v>
      </c>
      <c r="V84" s="171" t="s">
        <v>2361</v>
      </c>
      <c r="W84" s="3"/>
      <c r="X84" s="3"/>
      <c r="Y84" s="3"/>
      <c r="Z84" s="3"/>
    </row>
    <row r="85">
      <c r="A85" s="27"/>
      <c r="B85" s="29"/>
      <c r="C85" s="54" t="s">
        <v>2821</v>
      </c>
      <c r="D85" s="54" t="s">
        <v>2821</v>
      </c>
      <c r="E85" s="52" t="s">
        <v>2821</v>
      </c>
      <c r="F85" s="52" t="s">
        <v>2821</v>
      </c>
      <c r="G85" s="52" t="s">
        <v>2821</v>
      </c>
      <c r="H85" s="75" t="s">
        <v>2692</v>
      </c>
      <c r="I85" s="75" t="s">
        <v>2692</v>
      </c>
      <c r="J85" s="75" t="s">
        <v>2822</v>
      </c>
      <c r="K85" s="75" t="s">
        <v>2822</v>
      </c>
      <c r="L85" s="75" t="s">
        <v>2822</v>
      </c>
      <c r="M85" s="75" t="s">
        <v>2822</v>
      </c>
      <c r="N85" s="75" t="s">
        <v>2822</v>
      </c>
      <c r="O85" s="75" t="s">
        <v>2822</v>
      </c>
      <c r="P85" s="10"/>
      <c r="Q85" s="10"/>
      <c r="R85" s="10"/>
      <c r="S85" s="10"/>
      <c r="T85" s="10"/>
      <c r="U85" s="10"/>
      <c r="V85" s="10"/>
      <c r="W85" s="3"/>
      <c r="X85" s="3"/>
      <c r="Y85" s="3"/>
      <c r="Z85" s="3"/>
    </row>
    <row r="86">
      <c r="A86" s="27"/>
      <c r="B86" s="29"/>
      <c r="C86" s="54" t="s">
        <v>2823</v>
      </c>
      <c r="D86" s="54" t="s">
        <v>2823</v>
      </c>
      <c r="E86" s="52" t="s">
        <v>2823</v>
      </c>
      <c r="F86" s="52" t="s">
        <v>2823</v>
      </c>
      <c r="G86" s="52" t="s">
        <v>2823</v>
      </c>
      <c r="H86" s="75" t="s">
        <v>2824</v>
      </c>
      <c r="I86" s="75" t="s">
        <v>2824</v>
      </c>
      <c r="J86" s="75" t="s">
        <v>1882</v>
      </c>
      <c r="K86" s="75" t="s">
        <v>1882</v>
      </c>
      <c r="L86" s="75" t="s">
        <v>1882</v>
      </c>
      <c r="M86" s="75" t="s">
        <v>1882</v>
      </c>
      <c r="N86" s="75" t="s">
        <v>1882</v>
      </c>
      <c r="O86" s="75" t="s">
        <v>1882</v>
      </c>
      <c r="P86" s="10"/>
      <c r="Q86" s="10"/>
      <c r="R86" s="10"/>
      <c r="S86" s="10"/>
      <c r="T86" s="10"/>
      <c r="U86" s="10"/>
      <c r="V86" s="10"/>
      <c r="W86" s="3"/>
      <c r="X86" s="3"/>
      <c r="Y86" s="3"/>
      <c r="Z86" s="3"/>
    </row>
    <row r="87">
      <c r="A87" s="27"/>
      <c r="B87" s="29"/>
      <c r="C87" s="54" t="s">
        <v>105</v>
      </c>
      <c r="D87" s="54" t="s">
        <v>105</v>
      </c>
      <c r="E87" s="52" t="s">
        <v>105</v>
      </c>
      <c r="F87" s="52" t="s">
        <v>105</v>
      </c>
      <c r="G87" s="52" t="s">
        <v>105</v>
      </c>
      <c r="H87" s="75" t="s">
        <v>1107</v>
      </c>
      <c r="I87" s="75" t="s">
        <v>1107</v>
      </c>
      <c r="J87" s="75" t="s">
        <v>105</v>
      </c>
      <c r="K87" s="75" t="s">
        <v>105</v>
      </c>
      <c r="L87" s="75" t="s">
        <v>105</v>
      </c>
      <c r="M87" s="75" t="s">
        <v>105</v>
      </c>
      <c r="N87" s="75" t="s">
        <v>105</v>
      </c>
      <c r="O87" s="75" t="s">
        <v>105</v>
      </c>
      <c r="P87" s="10"/>
      <c r="Q87" s="10"/>
      <c r="R87" s="10"/>
      <c r="S87" s="10"/>
      <c r="T87" s="10"/>
      <c r="U87" s="10"/>
      <c r="V87" s="10"/>
      <c r="W87" s="3"/>
      <c r="X87" s="3"/>
      <c r="Y87" s="3"/>
      <c r="Z87" s="3"/>
    </row>
    <row r="88">
      <c r="A88" s="27"/>
      <c r="B88" s="29"/>
      <c r="C88" s="81" t="s">
        <v>2825</v>
      </c>
      <c r="D88" s="91" t="s">
        <v>2826</v>
      </c>
      <c r="E88" s="91" t="s">
        <v>2827</v>
      </c>
      <c r="F88" s="91" t="s">
        <v>2828</v>
      </c>
      <c r="G88" s="91" t="s">
        <v>2829</v>
      </c>
      <c r="H88" s="91" t="s">
        <v>2830</v>
      </c>
      <c r="I88" s="91" t="s">
        <v>2831</v>
      </c>
      <c r="J88" s="91" t="s">
        <v>2832</v>
      </c>
      <c r="K88" s="91" t="s">
        <v>2833</v>
      </c>
      <c r="L88" s="91" t="s">
        <v>2834</v>
      </c>
      <c r="M88" s="91" t="s">
        <v>2835</v>
      </c>
      <c r="N88" s="91" t="s">
        <v>2836</v>
      </c>
      <c r="O88" s="91" t="s">
        <v>2837</v>
      </c>
      <c r="P88" s="211"/>
      <c r="Q88" s="211"/>
      <c r="R88" s="211"/>
      <c r="S88" s="211"/>
      <c r="T88" s="211"/>
      <c r="U88" s="211"/>
      <c r="V88" s="211"/>
      <c r="W88" s="3"/>
      <c r="X88" s="3"/>
      <c r="Y88" s="3"/>
      <c r="Z88" s="3"/>
    </row>
    <row r="89">
      <c r="A89" s="27"/>
      <c r="B89" s="79"/>
      <c r="C89" s="98" t="str">
        <f>HYPERLINK("https://drive.google.com/folderview?id=0B21eH2QQLHcVaVM4TDhFT1lyTWc&amp;usp=sharing","ดาวน์โหลดเอกสารประกอบ")</f>
        <v>ดาวน์โหลดเอกสารประกอบ</v>
      </c>
      <c r="D89" s="98" t="str">
        <f>HYPERLINK("https://drive.google.com/folderview?id=0B21eH2QQLHcVODI1NjktdWpLOGs&amp;usp=sharing","ดาวน์โหลดเอกสารประกอบ")</f>
        <v>ดาวน์โหลดเอกสารประกอบ</v>
      </c>
      <c r="E89" s="152" t="s">
        <v>31</v>
      </c>
      <c r="F89" s="152" t="s">
        <v>31</v>
      </c>
      <c r="G89" s="152" t="s">
        <v>31</v>
      </c>
      <c r="H89" s="152" t="s">
        <v>195</v>
      </c>
      <c r="I89" s="152" t="s">
        <v>195</v>
      </c>
      <c r="J89" s="152" t="s">
        <v>31</v>
      </c>
      <c r="K89" s="98" t="str">
        <f>HYPERLINK("https://drive.google.com/folderview?id=0B21eH2QQLHcVVFJpMGNKWXIyTXc&amp;usp=sharing","ดาวน์โหลดเอกสารประกอบ")</f>
        <v>ดาวน์โหลดเอกสารประกอบ</v>
      </c>
      <c r="L89" s="98" t="str">
        <f>HYPERLINK("https://drive.google.com/folderview?id=0B21eH2QQLHcVRGdCaHNVNW1OLXM&amp;usp=sharing","ดาวน์โหลดเอกสารประกอบ")</f>
        <v>ดาวน์โหลดเอกสารประกอบ</v>
      </c>
      <c r="M89" s="98" t="str">
        <f>HYPERLINK("https://drive.google.com/folderview?id=0B21eH2QQLHcVMVh4Tzd0WTJqRGc&amp;usp=sharing","ดาวน์โหลดเอกสารประกอบ")</f>
        <v>ดาวน์โหลดเอกสารประกอบ</v>
      </c>
      <c r="N89" s="98" t="str">
        <f>HYPERLINK("https://drive.google.com/folderview?id=0B21eH2QQLHcVZ3hVOUo1M1o5NE0&amp;usp=sharing","ดาวน์โหลดเอกสารประกอบ")</f>
        <v>ดาวน์โหลดเอกสารประกอบ</v>
      </c>
      <c r="O89" s="98" t="str">
        <f>HYPERLINK("https://drive.google.com/folderview?id=0B21eH2QQLHcVLWVkR3FWb2NFNjQ&amp;usp=sharing","ดาวน์โหลดเอกสารประกอบ")</f>
        <v>ดาวน์โหลดเอกสารประกอบ</v>
      </c>
      <c r="P89" s="152" t="s">
        <v>195</v>
      </c>
      <c r="Q89" s="152" t="s">
        <v>195</v>
      </c>
      <c r="R89" s="152" t="s">
        <v>195</v>
      </c>
      <c r="S89" s="152" t="s">
        <v>195</v>
      </c>
      <c r="T89" s="152" t="s">
        <v>195</v>
      </c>
      <c r="U89" s="152" t="s">
        <v>195</v>
      </c>
      <c r="V89" s="152" t="s">
        <v>195</v>
      </c>
      <c r="W89" s="3"/>
      <c r="X89" s="3"/>
      <c r="Y89" s="3"/>
      <c r="Z89" s="3"/>
    </row>
    <row r="90">
      <c r="A90" s="27"/>
      <c r="B90" s="5" t="s">
        <v>3</v>
      </c>
      <c r="C90" s="5" t="s">
        <v>4</v>
      </c>
      <c r="D90" s="12" t="s">
        <v>5</v>
      </c>
      <c r="E90" s="5" t="s">
        <v>6</v>
      </c>
      <c r="F90" s="5" t="s">
        <v>8</v>
      </c>
      <c r="G90" s="5" t="s">
        <v>9</v>
      </c>
      <c r="H90" s="5" t="s">
        <v>10</v>
      </c>
      <c r="I90" s="5" t="s">
        <v>11</v>
      </c>
      <c r="J90" s="5" t="s">
        <v>12</v>
      </c>
      <c r="K90" s="5" t="s">
        <v>13</v>
      </c>
      <c r="L90" s="5" t="s">
        <v>14</v>
      </c>
      <c r="M90" s="5" t="s">
        <v>15</v>
      </c>
      <c r="N90" s="5" t="s">
        <v>16</v>
      </c>
      <c r="O90" s="5" t="s">
        <v>17</v>
      </c>
      <c r="P90" s="5" t="s">
        <v>18</v>
      </c>
      <c r="Q90" s="5" t="s">
        <v>19</v>
      </c>
      <c r="R90" s="5" t="s">
        <v>20</v>
      </c>
      <c r="S90" s="5" t="s">
        <v>21</v>
      </c>
      <c r="T90" s="5" t="s">
        <v>22</v>
      </c>
      <c r="U90" s="5" t="s">
        <v>23</v>
      </c>
      <c r="V90" s="5" t="s">
        <v>24</v>
      </c>
      <c r="W90" s="3"/>
      <c r="X90" s="3"/>
      <c r="Y90" s="3"/>
      <c r="Z90" s="3"/>
    </row>
    <row r="91">
      <c r="A91" s="27"/>
      <c r="B91" s="13" t="s">
        <v>247</v>
      </c>
      <c r="C91" s="19"/>
      <c r="D91" s="19"/>
      <c r="E91" s="21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3"/>
      <c r="X91" s="3"/>
      <c r="Y91" s="3"/>
      <c r="Z91" s="3"/>
    </row>
    <row r="92" ht="54.0" customHeight="1">
      <c r="A92" s="27"/>
      <c r="B92" s="29"/>
      <c r="C92" s="171" t="s">
        <v>2843</v>
      </c>
      <c r="D92" s="320" t="s">
        <v>2844</v>
      </c>
      <c r="E92" s="171" t="s">
        <v>2845</v>
      </c>
      <c r="F92" s="276" t="s">
        <v>2846</v>
      </c>
      <c r="G92" s="171" t="s">
        <v>2847</v>
      </c>
      <c r="H92" s="171" t="s">
        <v>2848</v>
      </c>
      <c r="I92" s="171" t="s">
        <v>2849</v>
      </c>
      <c r="J92" s="171" t="s">
        <v>2850</v>
      </c>
      <c r="K92" s="171" t="s">
        <v>2851</v>
      </c>
      <c r="L92" s="171" t="s">
        <v>2852</v>
      </c>
      <c r="M92" s="171" t="s">
        <v>2853</v>
      </c>
      <c r="N92" s="171" t="s">
        <v>2854</v>
      </c>
      <c r="O92" s="171" t="s">
        <v>2855</v>
      </c>
      <c r="P92" s="171" t="s">
        <v>2856</v>
      </c>
      <c r="Q92" s="171" t="s">
        <v>2857</v>
      </c>
      <c r="R92" s="171" t="s">
        <v>2858</v>
      </c>
      <c r="S92" s="171" t="s">
        <v>2361</v>
      </c>
      <c r="T92" s="171" t="s">
        <v>2361</v>
      </c>
      <c r="U92" s="171" t="s">
        <v>2361</v>
      </c>
      <c r="V92" s="171" t="s">
        <v>2361</v>
      </c>
      <c r="W92" s="3"/>
      <c r="X92" s="3"/>
      <c r="Y92" s="3"/>
      <c r="Z92" s="3"/>
    </row>
    <row r="93">
      <c r="A93" s="27"/>
      <c r="B93" s="29"/>
      <c r="C93" s="64" t="s">
        <v>2859</v>
      </c>
      <c r="D93" s="64" t="s">
        <v>2859</v>
      </c>
      <c r="E93" s="66" t="s">
        <v>2859</v>
      </c>
      <c r="F93" s="64" t="s">
        <v>2859</v>
      </c>
      <c r="G93" s="75" t="s">
        <v>2860</v>
      </c>
      <c r="H93" s="75" t="s">
        <v>2861</v>
      </c>
      <c r="I93" s="75" t="s">
        <v>2861</v>
      </c>
      <c r="J93" s="75" t="s">
        <v>2861</v>
      </c>
      <c r="K93" s="75" t="s">
        <v>2863</v>
      </c>
      <c r="L93" s="75" t="s">
        <v>2863</v>
      </c>
      <c r="M93" s="75" t="s">
        <v>2863</v>
      </c>
      <c r="N93" s="75" t="s">
        <v>2863</v>
      </c>
      <c r="O93" s="75" t="s">
        <v>2863</v>
      </c>
      <c r="P93" s="75" t="s">
        <v>2863</v>
      </c>
      <c r="Q93" s="75" t="s">
        <v>2822</v>
      </c>
      <c r="R93" s="75" t="s">
        <v>2822</v>
      </c>
      <c r="S93" s="10"/>
      <c r="T93" s="10"/>
      <c r="U93" s="10"/>
      <c r="V93" s="10"/>
      <c r="W93" s="3"/>
      <c r="X93" s="3"/>
      <c r="Y93" s="3"/>
      <c r="Z93" s="3"/>
    </row>
    <row r="94">
      <c r="A94" s="27"/>
      <c r="B94" s="29"/>
      <c r="C94" s="64" t="s">
        <v>2873</v>
      </c>
      <c r="D94" s="64" t="s">
        <v>2873</v>
      </c>
      <c r="E94" s="66" t="s">
        <v>2873</v>
      </c>
      <c r="F94" s="64" t="s">
        <v>2873</v>
      </c>
      <c r="G94" s="75" t="s">
        <v>2880</v>
      </c>
      <c r="H94" s="75" t="s">
        <v>2047</v>
      </c>
      <c r="I94" s="75" t="s">
        <v>2047</v>
      </c>
      <c r="J94" s="75" t="s">
        <v>2047</v>
      </c>
      <c r="K94" s="75" t="s">
        <v>2823</v>
      </c>
      <c r="L94" s="75" t="s">
        <v>2823</v>
      </c>
      <c r="M94" s="75" t="s">
        <v>2823</v>
      </c>
      <c r="N94" s="75" t="s">
        <v>2823</v>
      </c>
      <c r="O94" s="75" t="s">
        <v>2823</v>
      </c>
      <c r="P94" s="75" t="s">
        <v>2823</v>
      </c>
      <c r="Q94" s="75" t="s">
        <v>1882</v>
      </c>
      <c r="R94" s="75" t="s">
        <v>1882</v>
      </c>
      <c r="S94" s="10"/>
      <c r="T94" s="10"/>
      <c r="U94" s="10"/>
      <c r="V94" s="10"/>
      <c r="W94" s="3"/>
      <c r="X94" s="3"/>
      <c r="Y94" s="3"/>
      <c r="Z94" s="3"/>
    </row>
    <row r="95">
      <c r="A95" s="27"/>
      <c r="B95" s="29"/>
      <c r="C95" s="64" t="s">
        <v>105</v>
      </c>
      <c r="D95" s="64" t="s">
        <v>105</v>
      </c>
      <c r="E95" s="66" t="s">
        <v>105</v>
      </c>
      <c r="F95" s="64" t="s">
        <v>105</v>
      </c>
      <c r="G95" s="75" t="s">
        <v>105</v>
      </c>
      <c r="H95" s="75" t="s">
        <v>105</v>
      </c>
      <c r="I95" s="75" t="s">
        <v>105</v>
      </c>
      <c r="J95" s="75" t="s">
        <v>105</v>
      </c>
      <c r="K95" s="75" t="s">
        <v>105</v>
      </c>
      <c r="L95" s="75" t="s">
        <v>105</v>
      </c>
      <c r="M95" s="75" t="s">
        <v>105</v>
      </c>
      <c r="N95" s="75" t="s">
        <v>105</v>
      </c>
      <c r="O95" s="75" t="s">
        <v>105</v>
      </c>
      <c r="P95" s="75" t="s">
        <v>105</v>
      </c>
      <c r="Q95" s="75" t="s">
        <v>105</v>
      </c>
      <c r="R95" s="75" t="s">
        <v>105</v>
      </c>
      <c r="S95" s="10"/>
      <c r="T95" s="10"/>
      <c r="U95" s="10"/>
      <c r="V95" s="10"/>
      <c r="W95" s="3"/>
      <c r="X95" s="3"/>
      <c r="Y95" s="3"/>
      <c r="Z95" s="3"/>
    </row>
    <row r="96">
      <c r="A96" s="27"/>
      <c r="B96" s="29"/>
      <c r="C96" s="98" t="s">
        <v>2887</v>
      </c>
      <c r="D96" s="87" t="s">
        <v>2889</v>
      </c>
      <c r="E96" s="91" t="s">
        <v>2890</v>
      </c>
      <c r="F96" s="85" t="s">
        <v>2891</v>
      </c>
      <c r="G96" s="91" t="s">
        <v>2894</v>
      </c>
      <c r="H96" s="91" t="s">
        <v>2896</v>
      </c>
      <c r="I96" s="91" t="s">
        <v>2898</v>
      </c>
      <c r="J96" s="91" t="s">
        <v>2900</v>
      </c>
      <c r="K96" s="91" t="s">
        <v>2902</v>
      </c>
      <c r="L96" s="91" t="s">
        <v>2903</v>
      </c>
      <c r="M96" s="91" t="s">
        <v>2905</v>
      </c>
      <c r="N96" s="91" t="s">
        <v>2907</v>
      </c>
      <c r="O96" s="91" t="s">
        <v>2909</v>
      </c>
      <c r="P96" s="91" t="s">
        <v>2911</v>
      </c>
      <c r="Q96" s="91" t="s">
        <v>2913</v>
      </c>
      <c r="R96" s="91" t="s">
        <v>2914</v>
      </c>
      <c r="S96" s="211"/>
      <c r="T96" s="211"/>
      <c r="U96" s="211"/>
      <c r="V96" s="211"/>
      <c r="W96" s="3"/>
      <c r="X96" s="3"/>
      <c r="Y96" s="3"/>
      <c r="Z96" s="3"/>
    </row>
    <row r="97">
      <c r="A97" s="27"/>
      <c r="B97" s="79"/>
      <c r="C97" s="98" t="str">
        <f>HYPERLINK("https://drive.google.com/folderview?id=0BzlJDM3ko0eWfllqUnFLRmZuLTNqN05Ya0lQanJ2dzJXSm1yMENNV2xQTFRtdUpPb0d1RGs&amp;usp=sharing","ดาวน์โหลดเอกสารประกอบ")</f>
        <v>ดาวน์โหลดเอกสารประกอบ</v>
      </c>
      <c r="D97" s="152" t="s">
        <v>31</v>
      </c>
      <c r="E97" s="98" t="str">
        <f>HYPERLINK("https://drive.google.com/folderview?id=0BzlJDM3ko0eWfnBER1hBVHZoN29ieW51TXljTTZPZ1VrUGZGTUNQcEFDVWRWWnB5amI1bEk&amp;usp=sharing","ดาวน์โหลดเอกสารประกอบ")</f>
        <v>ดาวน์โหลดเอกสารประกอบ</v>
      </c>
      <c r="F97" s="98" t="str">
        <f>HYPERLINK("https://drive.google.com/folderview?id=0BzlJDM3ko0eWfkU0UVNJdlJDT0NlbURtdmVHejAxcF9rNGlJYmhxejdMcTFYWE1qSXZmdTg&amp;usp=sharing","ดาวน์โหลดเอกสารประกอบ")</f>
        <v>ดาวน์โหลดเอกสารประกอบ</v>
      </c>
      <c r="G97" s="98" t="str">
        <f>HYPERLINK("https://drive.google.com/folderview?id=0B21eH2QQLHcVRHc2d0w5Q3Zya00&amp;usp=sharing","ดาวน์โหลดเอกสารประกอบ")</f>
        <v>ดาวน์โหลดเอกสารประกอบ</v>
      </c>
      <c r="H97" s="98" t="str">
        <f>HYPERLINK("https://drive.google.com/folderview?id=0B21eH2QQLHcVQkhvUUhPZUdIU3M&amp;usp=sharing","ดาวน์โหลดเอกสารประกอบ")</f>
        <v>ดาวน์โหลดเอกสารประกอบ</v>
      </c>
      <c r="I97" s="98" t="str">
        <f>HYPERLINK("https://drive.google.com/folderview?id=0B21eH2QQLHcVQWhoZlpMODQ2Rnc&amp;usp=sharing","ดาวน์โหลดเอกสารประกอบ")</f>
        <v>ดาวน์โหลดเอกสารประกอบ</v>
      </c>
      <c r="J97" s="98" t="str">
        <f>HYPERLINK("https://drive.google.com/folderview?id=0B21eH2QQLHcVTXU4aFZqUFg2T28&amp;usp=sharing","ดาวน์โหลดเอกสารประกอบ")</f>
        <v>ดาวน์โหลดเอกสารประกอบ</v>
      </c>
      <c r="K97" s="98" t="str">
        <f>HYPERLINK("https://drive.google.com/folderview?id=0B21eH2QQLHcVMlJmaU5LN0RGTG8&amp;usp=sharing","ดาวน์โหลดเอกสารประกอบ")</f>
        <v>ดาวน์โหลดเอกสารประกอบ</v>
      </c>
      <c r="L97" s="98" t="str">
        <f>HYPERLINK("https://drive.google.com/folderview?id=0B21eH2QQLHcVSENHVm9XeG1ZYjg&amp;usp=sharing","ดาวน์โหลดเอกสารประกอบ")</f>
        <v>ดาวน์โหลดเอกสารประกอบ</v>
      </c>
      <c r="M97" s="98" t="str">
        <f>HYPERLINK("https://drive.google.com/folderview?id=0B21eH2QQLHcVUVVBeGxPbUdWa0U&amp;usp=sharing","ดาวน์โหลดเอกสารประกอบ")</f>
        <v>ดาวน์โหลดเอกสารประกอบ</v>
      </c>
      <c r="N97" s="98" t="str">
        <f>HYPERLINK("https://drive.google.com/folderview?id=0B21eH2QQLHcVRFY5OW04ek9vWnc&amp;usp=sharing","ดาวน์โหลดเอกสารประกอบ")</f>
        <v>ดาวน์โหลดเอกสารประกอบ</v>
      </c>
      <c r="O97" s="98" t="str">
        <f>HYPERLINK("https://drive.google.com/folderview?id=0B21eH2QQLHcVdU1udzZ3Uy1sams&amp;usp=sharing","ดาวน์โหลดเอกสารประกอบ")</f>
        <v>ดาวน์โหลดเอกสารประกอบ</v>
      </c>
      <c r="P97" s="98" t="str">
        <f>HYPERLINK("https://drive.google.com/folderview?id=0B21eH2QQLHcVY0lQeDhsZS1pdVU&amp;usp=sharing","ดาวน์โหลดเอกสารประกอบ")</f>
        <v>ดาวน์โหลดเอกสารประกอบ</v>
      </c>
      <c r="Q97" s="98" t="str">
        <f t="shared" ref="Q97:R97" si="4">HYPERLINK("https://drive.google.com/folderview?id=0B21eH2QQLHcVUjEyX19zOUtBUGc&amp;usp=sharing","ดาวน์โหลดเอกสารประกอบ")</f>
        <v>ดาวน์โหลดเอกสารประกอบ</v>
      </c>
      <c r="R97" s="98" t="str">
        <f t="shared" si="4"/>
        <v>ดาวน์โหลดเอกสารประกอบ</v>
      </c>
      <c r="S97" s="152" t="s">
        <v>195</v>
      </c>
      <c r="T97" s="152" t="s">
        <v>195</v>
      </c>
      <c r="U97" s="152" t="s">
        <v>195</v>
      </c>
      <c r="V97" s="152" t="s">
        <v>195</v>
      </c>
      <c r="W97" s="3"/>
      <c r="X97" s="3"/>
      <c r="Y97" s="3"/>
      <c r="Z97" s="3"/>
    </row>
    <row r="98">
      <c r="A98" s="27"/>
      <c r="B98" s="5" t="s">
        <v>3</v>
      </c>
      <c r="C98" s="5" t="s">
        <v>4</v>
      </c>
      <c r="D98" s="5" t="s">
        <v>5</v>
      </c>
      <c r="E98" s="5" t="s">
        <v>6</v>
      </c>
      <c r="F98" s="5" t="s">
        <v>8</v>
      </c>
      <c r="G98" s="5" t="s">
        <v>9</v>
      </c>
      <c r="H98" s="7" t="s">
        <v>10</v>
      </c>
      <c r="I98" s="5" t="s">
        <v>11</v>
      </c>
      <c r="J98" s="5" t="s">
        <v>12</v>
      </c>
      <c r="K98" s="5" t="s">
        <v>13</v>
      </c>
      <c r="L98" s="5" t="s">
        <v>14</v>
      </c>
      <c r="M98" s="5" t="s">
        <v>15</v>
      </c>
      <c r="N98" s="5" t="s">
        <v>16</v>
      </c>
      <c r="O98" s="5" t="s">
        <v>17</v>
      </c>
      <c r="P98" s="5" t="s">
        <v>18</v>
      </c>
      <c r="Q98" s="5" t="s">
        <v>19</v>
      </c>
      <c r="R98" s="5" t="s">
        <v>20</v>
      </c>
      <c r="S98" s="5" t="s">
        <v>21</v>
      </c>
      <c r="T98" s="5" t="s">
        <v>22</v>
      </c>
      <c r="U98" s="5" t="s">
        <v>23</v>
      </c>
      <c r="V98" s="5" t="s">
        <v>24</v>
      </c>
      <c r="W98" s="3"/>
      <c r="X98" s="3"/>
      <c r="Y98" s="3"/>
      <c r="Z98" s="3"/>
    </row>
    <row r="99">
      <c r="A99" s="27"/>
      <c r="B99" s="13" t="s">
        <v>259</v>
      </c>
      <c r="C99" s="19"/>
      <c r="D99" s="19"/>
      <c r="E99" s="19"/>
      <c r="F99" s="19"/>
      <c r="G99" s="139"/>
      <c r="H99" s="21"/>
      <c r="I99" s="140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3"/>
      <c r="X99" s="3"/>
      <c r="Y99" s="3"/>
      <c r="Z99" s="3"/>
    </row>
    <row r="100" ht="60.0" customHeight="1">
      <c r="A100" s="27"/>
      <c r="B100" s="29"/>
      <c r="C100" s="171" t="s">
        <v>2952</v>
      </c>
      <c r="D100" s="171" t="s">
        <v>2953</v>
      </c>
      <c r="E100" s="171" t="s">
        <v>2954</v>
      </c>
      <c r="F100" s="171" t="s">
        <v>2955</v>
      </c>
      <c r="G100" s="320" t="s">
        <v>2956</v>
      </c>
      <c r="H100" s="171" t="s">
        <v>2957</v>
      </c>
      <c r="I100" s="276" t="s">
        <v>2958</v>
      </c>
      <c r="J100" s="171" t="s">
        <v>2959</v>
      </c>
      <c r="K100" s="171" t="s">
        <v>2960</v>
      </c>
      <c r="L100" s="171" t="s">
        <v>2961</v>
      </c>
      <c r="M100" s="171" t="s">
        <v>2962</v>
      </c>
      <c r="N100" s="171" t="s">
        <v>2963</v>
      </c>
      <c r="O100" s="171" t="s">
        <v>2965</v>
      </c>
      <c r="P100" s="171" t="s">
        <v>2966</v>
      </c>
      <c r="Q100" s="171" t="s">
        <v>2967</v>
      </c>
      <c r="R100" s="171" t="s">
        <v>2968</v>
      </c>
      <c r="S100" s="171" t="s">
        <v>2727</v>
      </c>
      <c r="T100" s="171" t="s">
        <v>2361</v>
      </c>
      <c r="U100" s="171" t="s">
        <v>2361</v>
      </c>
      <c r="V100" s="171" t="s">
        <v>2361</v>
      </c>
      <c r="W100" s="3"/>
      <c r="X100" s="3"/>
      <c r="Y100" s="3"/>
      <c r="Z100" s="3"/>
    </row>
    <row r="101">
      <c r="A101" s="27"/>
      <c r="B101" s="29"/>
      <c r="C101" s="66" t="s">
        <v>2970</v>
      </c>
      <c r="D101" s="66" t="s">
        <v>2970</v>
      </c>
      <c r="E101" s="64" t="s">
        <v>2970</v>
      </c>
      <c r="F101" s="66" t="s">
        <v>2970</v>
      </c>
      <c r="G101" s="64" t="s">
        <v>2970</v>
      </c>
      <c r="H101" s="66" t="s">
        <v>2970</v>
      </c>
      <c r="I101" s="66" t="s">
        <v>2970</v>
      </c>
      <c r="J101" s="66" t="s">
        <v>2970</v>
      </c>
      <c r="K101" s="66" t="s">
        <v>2970</v>
      </c>
      <c r="L101" s="75" t="s">
        <v>2973</v>
      </c>
      <c r="M101" s="75" t="s">
        <v>2973</v>
      </c>
      <c r="N101" s="66" t="s">
        <v>2970</v>
      </c>
      <c r="O101" s="66" t="s">
        <v>2970</v>
      </c>
      <c r="P101" s="66" t="s">
        <v>2970</v>
      </c>
      <c r="Q101" s="66" t="s">
        <v>2970</v>
      </c>
      <c r="R101" s="66" t="s">
        <v>2970</v>
      </c>
      <c r="S101" s="54" t="s">
        <v>2745</v>
      </c>
      <c r="T101" s="10"/>
      <c r="U101" s="10"/>
      <c r="V101" s="10"/>
      <c r="W101" s="3"/>
      <c r="X101" s="3"/>
      <c r="Y101" s="3"/>
      <c r="Z101" s="3"/>
    </row>
    <row r="102">
      <c r="A102" s="27"/>
      <c r="B102" s="29"/>
      <c r="C102" s="66" t="s">
        <v>2976</v>
      </c>
      <c r="D102" s="66" t="s">
        <v>2976</v>
      </c>
      <c r="E102" s="64" t="s">
        <v>2976</v>
      </c>
      <c r="F102" s="66" t="s">
        <v>2976</v>
      </c>
      <c r="G102" s="64" t="s">
        <v>2976</v>
      </c>
      <c r="H102" s="66" t="s">
        <v>2976</v>
      </c>
      <c r="I102" s="66" t="s">
        <v>2976</v>
      </c>
      <c r="J102" s="66" t="s">
        <v>2976</v>
      </c>
      <c r="K102" s="66" t="s">
        <v>2976</v>
      </c>
      <c r="L102" s="75" t="s">
        <v>2823</v>
      </c>
      <c r="M102" s="75" t="s">
        <v>2823</v>
      </c>
      <c r="N102" s="66" t="s">
        <v>2976</v>
      </c>
      <c r="O102" s="66" t="s">
        <v>2976</v>
      </c>
      <c r="P102" s="66" t="s">
        <v>2976</v>
      </c>
      <c r="Q102" s="66" t="s">
        <v>2976</v>
      </c>
      <c r="R102" s="66" t="s">
        <v>2976</v>
      </c>
      <c r="S102" s="54" t="s">
        <v>1882</v>
      </c>
      <c r="T102" s="10"/>
      <c r="U102" s="10"/>
      <c r="V102" s="10"/>
      <c r="W102" s="3"/>
      <c r="X102" s="3"/>
      <c r="Y102" s="3"/>
      <c r="Z102" s="3"/>
    </row>
    <row r="103">
      <c r="A103" s="27"/>
      <c r="B103" s="29"/>
      <c r="C103" s="66" t="s">
        <v>105</v>
      </c>
      <c r="D103" s="66" t="s">
        <v>105</v>
      </c>
      <c r="E103" s="64" t="s">
        <v>105</v>
      </c>
      <c r="F103" s="66" t="s">
        <v>105</v>
      </c>
      <c r="G103" s="64" t="s">
        <v>105</v>
      </c>
      <c r="H103" s="66" t="s">
        <v>105</v>
      </c>
      <c r="I103" s="66" t="s">
        <v>105</v>
      </c>
      <c r="J103" s="66" t="s">
        <v>105</v>
      </c>
      <c r="K103" s="66" t="s">
        <v>105</v>
      </c>
      <c r="L103" s="75" t="s">
        <v>105</v>
      </c>
      <c r="M103" s="75" t="s">
        <v>105</v>
      </c>
      <c r="N103" s="66" t="s">
        <v>105</v>
      </c>
      <c r="O103" s="66" t="s">
        <v>105</v>
      </c>
      <c r="P103" s="66" t="s">
        <v>105</v>
      </c>
      <c r="Q103" s="66" t="s">
        <v>105</v>
      </c>
      <c r="R103" s="66" t="s">
        <v>105</v>
      </c>
      <c r="S103" s="54" t="s">
        <v>105</v>
      </c>
      <c r="T103" s="10"/>
      <c r="U103" s="10"/>
      <c r="V103" s="10"/>
      <c r="W103" s="3"/>
      <c r="X103" s="3"/>
      <c r="Y103" s="3"/>
      <c r="Z103" s="3"/>
    </row>
    <row r="104">
      <c r="A104" s="27"/>
      <c r="B104" s="29"/>
      <c r="C104" s="98" t="s">
        <v>2983</v>
      </c>
      <c r="D104" s="98" t="s">
        <v>2985</v>
      </c>
      <c r="E104" s="137" t="s">
        <v>2987</v>
      </c>
      <c r="F104" s="91" t="s">
        <v>2989</v>
      </c>
      <c r="G104" s="87" t="s">
        <v>2991</v>
      </c>
      <c r="H104" s="91" t="s">
        <v>2993</v>
      </c>
      <c r="I104" s="85" t="s">
        <v>2995</v>
      </c>
      <c r="J104" s="91" t="s">
        <v>2998</v>
      </c>
      <c r="K104" s="91" t="s">
        <v>2999</v>
      </c>
      <c r="L104" s="91" t="s">
        <v>3000</v>
      </c>
      <c r="M104" s="91" t="s">
        <v>3001</v>
      </c>
      <c r="N104" s="91" t="s">
        <v>3002</v>
      </c>
      <c r="O104" s="91" t="s">
        <v>3003</v>
      </c>
      <c r="P104" s="91" t="s">
        <v>3004</v>
      </c>
      <c r="Q104" s="91" t="s">
        <v>3005</v>
      </c>
      <c r="R104" s="91" t="s">
        <v>3006</v>
      </c>
      <c r="S104" s="91" t="s">
        <v>3007</v>
      </c>
      <c r="T104" s="211"/>
      <c r="U104" s="211"/>
      <c r="V104" s="211"/>
      <c r="W104" s="3"/>
      <c r="X104" s="3"/>
      <c r="Y104" s="3"/>
      <c r="Z104" s="3"/>
    </row>
    <row r="105">
      <c r="A105" s="27"/>
      <c r="B105" s="79"/>
      <c r="C105" s="98" t="str">
        <f>HYPERLINK("https://drive.google.com/open?id=0BzlJDM3ko0eWfjZ0OHlacUpxX1NjRV9GT0ZabDBUelpaQmZ0bktvQXc3YndxVFRrY2FjWlk","ดาวน์โหลดเอกสารประกอบ")</f>
        <v>ดาวน์โหลดเอกสารประกอบ</v>
      </c>
      <c r="D105" s="98" t="str">
        <f>HYPERLINK("https://drive.google.com/open?id=0BzlJDM3ko0eWfnJFcU5YdHYxNDFOZ0t6M0lHV3hEU2JOS3hOZ21JV1c5a0I0MzNnUjM3ZzA","ดาวน์โหลดเอกสารประกอบ")</f>
        <v>ดาวน์โหลดเอกสารประกอบ</v>
      </c>
      <c r="E105" s="98" t="str">
        <f>HYPERLINK("https://drive.google.com/open?id=0BzlJDM3ko0eWfmZ4bjVXbFBZOHRXVG9lNnpnTGVyNldBM3BzeGJkVHRHNmRJX0dQSEl0V00","ดาวน์โหลดเอกสารประกอบ")</f>
        <v>ดาวน์โหลดเอกสารประกอบ</v>
      </c>
      <c r="F105" s="98" t="str">
        <f>HYPERLINK("https://drive.google.com/open?id=0BzlJDM3ko0eWflJMbVdsVEZyaGRLNzdpUkNWd0RrUXBiaDlPYmkwY0UzenFULWhaOGVGTkE","ดาวน์โหลดเอกสารประกอบ")</f>
        <v>ดาวน์โหลดเอกสารประกอบ</v>
      </c>
      <c r="G105" s="152" t="s">
        <v>31</v>
      </c>
      <c r="H105" s="152" t="s">
        <v>31</v>
      </c>
      <c r="I105" s="152" t="s">
        <v>31</v>
      </c>
      <c r="J105" s="152" t="s">
        <v>31</v>
      </c>
      <c r="K105" s="152" t="s">
        <v>31</v>
      </c>
      <c r="L105" s="152" t="s">
        <v>31</v>
      </c>
      <c r="M105" s="152" t="s">
        <v>31</v>
      </c>
      <c r="N105" s="152" t="s">
        <v>31</v>
      </c>
      <c r="O105" s="98" t="str">
        <f t="shared" ref="O105:R105" si="5">HYPERLINK("https://drive.google.com/folderview?id=0B21eH2QQLHcVOVlibVgyb0FYRjA&amp;usp=sharing","ดาวน์โหลดเอกสารประกอบ")</f>
        <v>ดาวน์โหลดเอกสารประกอบ</v>
      </c>
      <c r="P105" s="98" t="str">
        <f t="shared" si="5"/>
        <v>ดาวน์โหลดเอกสารประกอบ</v>
      </c>
      <c r="Q105" s="98" t="str">
        <f t="shared" si="5"/>
        <v>ดาวน์โหลดเอกสารประกอบ</v>
      </c>
      <c r="R105" s="98" t="str">
        <f t="shared" si="5"/>
        <v>ดาวน์โหลดเอกสารประกอบ</v>
      </c>
      <c r="S105" s="152" t="s">
        <v>31</v>
      </c>
      <c r="T105" s="152" t="s">
        <v>195</v>
      </c>
      <c r="U105" s="152" t="s">
        <v>195</v>
      </c>
      <c r="V105" s="152" t="s">
        <v>195</v>
      </c>
      <c r="W105" s="3"/>
      <c r="X105" s="3"/>
      <c r="Y105" s="3"/>
      <c r="Z105" s="3"/>
    </row>
    <row r="106">
      <c r="A106" s="27"/>
      <c r="B106" s="5" t="s">
        <v>3</v>
      </c>
      <c r="C106" s="5" t="s">
        <v>4</v>
      </c>
      <c r="D106" s="12" t="s">
        <v>5</v>
      </c>
      <c r="E106" s="5" t="s">
        <v>6</v>
      </c>
      <c r="F106" s="5" t="s">
        <v>8</v>
      </c>
      <c r="G106" s="5" t="s">
        <v>9</v>
      </c>
      <c r="H106" s="5" t="s">
        <v>10</v>
      </c>
      <c r="I106" s="5" t="s">
        <v>11</v>
      </c>
      <c r="J106" s="5" t="s">
        <v>12</v>
      </c>
      <c r="K106" s="5" t="s">
        <v>13</v>
      </c>
      <c r="L106" s="5" t="s">
        <v>14</v>
      </c>
      <c r="M106" s="5" t="s">
        <v>15</v>
      </c>
      <c r="N106" s="5" t="s">
        <v>16</v>
      </c>
      <c r="O106" s="5" t="s">
        <v>17</v>
      </c>
      <c r="P106" s="5" t="s">
        <v>18</v>
      </c>
      <c r="Q106" s="5" t="s">
        <v>19</v>
      </c>
      <c r="R106" s="5" t="s">
        <v>20</v>
      </c>
      <c r="S106" s="5" t="s">
        <v>21</v>
      </c>
      <c r="T106" s="5" t="s">
        <v>22</v>
      </c>
      <c r="U106" s="5" t="s">
        <v>23</v>
      </c>
      <c r="V106" s="5" t="s">
        <v>24</v>
      </c>
      <c r="W106" s="3"/>
      <c r="X106" s="3"/>
      <c r="Y106" s="3"/>
      <c r="Z106" s="3"/>
    </row>
    <row r="107">
      <c r="A107" s="27"/>
      <c r="B107" s="13" t="s">
        <v>269</v>
      </c>
      <c r="C107" s="21"/>
      <c r="D107" s="21"/>
      <c r="E107" s="21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3"/>
      <c r="X107" s="3"/>
      <c r="Y107" s="3"/>
      <c r="Z107" s="3"/>
    </row>
    <row r="108" ht="30.0" customHeight="1">
      <c r="A108" s="27"/>
      <c r="B108" s="29"/>
      <c r="C108" s="171" t="s">
        <v>3008</v>
      </c>
      <c r="D108" s="171" t="s">
        <v>3009</v>
      </c>
      <c r="E108" s="171" t="s">
        <v>3010</v>
      </c>
      <c r="F108" s="171" t="s">
        <v>3011</v>
      </c>
      <c r="G108" s="171" t="s">
        <v>3012</v>
      </c>
      <c r="H108" s="171" t="s">
        <v>3013</v>
      </c>
      <c r="I108" s="171" t="s">
        <v>3014</v>
      </c>
      <c r="J108" s="171" t="s">
        <v>3015</v>
      </c>
      <c r="K108" s="171" t="s">
        <v>2361</v>
      </c>
      <c r="L108" s="171" t="s">
        <v>2361</v>
      </c>
      <c r="M108" s="171" t="s">
        <v>2361</v>
      </c>
      <c r="N108" s="171" t="s">
        <v>2361</v>
      </c>
      <c r="O108" s="171" t="s">
        <v>2361</v>
      </c>
      <c r="P108" s="171" t="s">
        <v>2361</v>
      </c>
      <c r="Q108" s="171" t="s">
        <v>2361</v>
      </c>
      <c r="R108" s="171" t="s">
        <v>2361</v>
      </c>
      <c r="S108" s="171" t="s">
        <v>2361</v>
      </c>
      <c r="T108" s="171" t="s">
        <v>2361</v>
      </c>
      <c r="U108" s="171" t="s">
        <v>2361</v>
      </c>
      <c r="V108" s="171" t="s">
        <v>2361</v>
      </c>
      <c r="W108" s="3"/>
      <c r="X108" s="3"/>
      <c r="Y108" s="3"/>
      <c r="Z108" s="3"/>
    </row>
    <row r="109">
      <c r="A109" s="27"/>
      <c r="B109" s="29"/>
      <c r="C109" s="54" t="s">
        <v>3016</v>
      </c>
      <c r="D109" s="54" t="s">
        <v>3016</v>
      </c>
      <c r="E109" s="54" t="s">
        <v>3016</v>
      </c>
      <c r="F109" s="203" t="s">
        <v>3016</v>
      </c>
      <c r="G109" s="75" t="s">
        <v>3017</v>
      </c>
      <c r="H109" s="75" t="s">
        <v>3017</v>
      </c>
      <c r="I109" s="75" t="s">
        <v>3017</v>
      </c>
      <c r="J109" s="75" t="s">
        <v>3017</v>
      </c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3"/>
      <c r="X109" s="3"/>
      <c r="Y109" s="3"/>
      <c r="Z109" s="3"/>
    </row>
    <row r="110">
      <c r="A110" s="27"/>
      <c r="B110" s="29"/>
      <c r="C110" s="54" t="s">
        <v>3018</v>
      </c>
      <c r="D110" s="54" t="s">
        <v>3018</v>
      </c>
      <c r="E110" s="54" t="s">
        <v>3018</v>
      </c>
      <c r="F110" s="203" t="s">
        <v>3018</v>
      </c>
      <c r="G110" s="75" t="s">
        <v>1599</v>
      </c>
      <c r="H110" s="75" t="s">
        <v>1599</v>
      </c>
      <c r="I110" s="75" t="s">
        <v>1599</v>
      </c>
      <c r="J110" s="75" t="s">
        <v>1599</v>
      </c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3"/>
      <c r="X110" s="3"/>
      <c r="Y110" s="3"/>
      <c r="Z110" s="3"/>
    </row>
    <row r="111">
      <c r="A111" s="27"/>
      <c r="B111" s="29"/>
      <c r="C111" s="54" t="s">
        <v>105</v>
      </c>
      <c r="D111" s="54" t="s">
        <v>105</v>
      </c>
      <c r="E111" s="54" t="s">
        <v>105</v>
      </c>
      <c r="F111" s="203" t="s">
        <v>105</v>
      </c>
      <c r="G111" s="75" t="s">
        <v>105</v>
      </c>
      <c r="H111" s="75" t="s">
        <v>105</v>
      </c>
      <c r="I111" s="75" t="s">
        <v>105</v>
      </c>
      <c r="J111" s="75" t="s">
        <v>105</v>
      </c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3"/>
      <c r="X111" s="3"/>
      <c r="Y111" s="3"/>
      <c r="Z111" s="3"/>
    </row>
    <row r="112">
      <c r="A112" s="27"/>
      <c r="B112" s="29"/>
      <c r="C112" s="208" t="s">
        <v>3035</v>
      </c>
      <c r="D112" s="91" t="s">
        <v>3039</v>
      </c>
      <c r="E112" s="91" t="s">
        <v>3042</v>
      </c>
      <c r="F112" s="91" t="s">
        <v>3043</v>
      </c>
      <c r="G112" s="280" t="s">
        <v>3045</v>
      </c>
      <c r="H112" s="91" t="s">
        <v>3047</v>
      </c>
      <c r="I112" s="91" t="s">
        <v>3049</v>
      </c>
      <c r="J112" s="91" t="s">
        <v>3050</v>
      </c>
      <c r="K112" s="211"/>
      <c r="L112" s="211"/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3"/>
      <c r="X112" s="3"/>
      <c r="Y112" s="3"/>
      <c r="Z112" s="3"/>
    </row>
    <row r="113">
      <c r="A113" s="281"/>
      <c r="B113" s="79"/>
      <c r="C113" s="98" t="str">
        <f t="shared" ref="C113:E113" si="6">HYPERLINK("https://drive.google.com/folderview?id=0BzlJDM3ko0eWfnl6QW5lVUhSRUtkd1drVE84eDJ0YXRURmhqbW9RRm8wWExramRaRS03Ylk&amp;usp=sharing","ดาวน์โหลดเอกสารประกอบ")</f>
        <v>ดาวน์โหลดเอกสารประกอบ</v>
      </c>
      <c r="D113" s="98" t="str">
        <f t="shared" si="6"/>
        <v>ดาวน์โหลดเอกสารประกอบ</v>
      </c>
      <c r="E113" s="98" t="str">
        <f t="shared" si="6"/>
        <v>ดาวน์โหลดเอกสารประกอบ</v>
      </c>
      <c r="F113" s="152" t="s">
        <v>31</v>
      </c>
      <c r="G113" s="98" t="str">
        <f t="shared" ref="G113:H113" si="7">HYPERLINK("https://drive.google.com/folderview?id=0B21eH2QQLHcVZGNtLWxFVEk2U1U&amp;usp=sharing","ดาวน์โหลดเอกสารประกอบ")</f>
        <v>ดาวน์โหลดเอกสารประกอบ</v>
      </c>
      <c r="H113" s="98" t="str">
        <f t="shared" si="7"/>
        <v>ดาวน์โหลดเอกสารประกอบ</v>
      </c>
      <c r="I113" s="98" t="str">
        <f t="shared" ref="I113:J113" si="8">HYPERLINK("https://drive.google.com/folderview?id=0B21eH2QQLHcVc0Z4WXl0cmh4QjA&amp;usp=sharing","ดาวน์โหลดเอกสารประกอบ")</f>
        <v>ดาวน์โหลดเอกสารประกอบ</v>
      </c>
      <c r="J113" s="98" t="str">
        <f t="shared" si="8"/>
        <v>ดาวน์โหลดเอกสารประกอบ</v>
      </c>
      <c r="K113" s="152" t="s">
        <v>195</v>
      </c>
      <c r="L113" s="152" t="s">
        <v>195</v>
      </c>
      <c r="M113" s="152" t="s">
        <v>195</v>
      </c>
      <c r="N113" s="152" t="s">
        <v>195</v>
      </c>
      <c r="O113" s="152" t="s">
        <v>195</v>
      </c>
      <c r="P113" s="152" t="s">
        <v>195</v>
      </c>
      <c r="Q113" s="152" t="s">
        <v>195</v>
      </c>
      <c r="R113" s="152" t="s">
        <v>195</v>
      </c>
      <c r="S113" s="152" t="s">
        <v>195</v>
      </c>
      <c r="T113" s="152" t="s">
        <v>195</v>
      </c>
      <c r="U113" s="152" t="s">
        <v>195</v>
      </c>
      <c r="V113" s="152" t="s">
        <v>195</v>
      </c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</sheetData>
  <mergeCells count="13">
    <mergeCell ref="B59:B65"/>
    <mergeCell ref="B67:B73"/>
    <mergeCell ref="B99:B105"/>
    <mergeCell ref="B91:B97"/>
    <mergeCell ref="B3:B25"/>
    <mergeCell ref="A3:A113"/>
    <mergeCell ref="B107:B113"/>
    <mergeCell ref="B35:B41"/>
    <mergeCell ref="B27:B33"/>
    <mergeCell ref="B43:B49"/>
    <mergeCell ref="B51:B57"/>
    <mergeCell ref="B75:B81"/>
    <mergeCell ref="B83:B89"/>
  </mergeCells>
  <hyperlinks>
    <hyperlink r:id="rId1" ref="C8"/>
    <hyperlink r:id="rId2" ref="D8"/>
    <hyperlink r:id="rId3" ref="E8"/>
    <hyperlink r:id="rId4" ref="F8"/>
    <hyperlink r:id="rId5" ref="G8"/>
    <hyperlink r:id="rId6" ref="H8"/>
    <hyperlink r:id="rId7" ref="I8"/>
    <hyperlink r:id="rId8" ref="J8"/>
    <hyperlink r:id="rId9" ref="K8"/>
    <hyperlink r:id="rId10" ref="L8"/>
    <hyperlink r:id="rId11" ref="M8"/>
    <hyperlink r:id="rId12" ref="N8"/>
    <hyperlink r:id="rId13" ref="O8"/>
    <hyperlink r:id="rId14" ref="P8"/>
    <hyperlink r:id="rId15" ref="C16"/>
    <hyperlink r:id="rId16" ref="D16"/>
    <hyperlink r:id="rId17" ref="E16"/>
    <hyperlink r:id="rId18" ref="F16"/>
    <hyperlink r:id="rId19" ref="G16"/>
    <hyperlink r:id="rId20" ref="H16"/>
    <hyperlink r:id="rId21" ref="I16"/>
    <hyperlink r:id="rId22" ref="J16"/>
    <hyperlink r:id="rId23" ref="K16"/>
    <hyperlink r:id="rId24" ref="L16"/>
    <hyperlink r:id="rId25" ref="M16"/>
    <hyperlink r:id="rId26" ref="N16"/>
    <hyperlink r:id="rId27" ref="O16"/>
    <hyperlink r:id="rId28" ref="P16"/>
    <hyperlink r:id="rId29" ref="Q16"/>
    <hyperlink r:id="rId30" ref="C24"/>
    <hyperlink r:id="rId31" ref="D24"/>
    <hyperlink r:id="rId32" ref="E24"/>
    <hyperlink r:id="rId33" ref="F24"/>
    <hyperlink r:id="rId34" ref="G24"/>
    <hyperlink r:id="rId35" ref="H24"/>
    <hyperlink r:id="rId36" ref="I24"/>
    <hyperlink r:id="rId37" ref="J24"/>
    <hyperlink r:id="rId38" ref="K24"/>
    <hyperlink r:id="rId39" ref="L24"/>
    <hyperlink r:id="rId40" ref="M24"/>
    <hyperlink r:id="rId41" ref="N24"/>
    <hyperlink r:id="rId42" ref="O24"/>
    <hyperlink r:id="rId43" ref="P24"/>
    <hyperlink r:id="rId44" ref="Q24"/>
    <hyperlink r:id="rId45" ref="C32"/>
    <hyperlink r:id="rId46" ref="D32"/>
    <hyperlink r:id="rId47" ref="E32"/>
    <hyperlink r:id="rId48" ref="F32"/>
    <hyperlink r:id="rId49" ref="G32"/>
    <hyperlink r:id="rId50" ref="H32"/>
    <hyperlink r:id="rId51" ref="I32"/>
    <hyperlink r:id="rId52" ref="J32"/>
    <hyperlink r:id="rId53" ref="K32"/>
    <hyperlink r:id="rId54" ref="C40"/>
    <hyperlink r:id="rId55" ref="D40"/>
    <hyperlink r:id="rId56" ref="E40"/>
    <hyperlink r:id="rId57" ref="F40"/>
    <hyperlink r:id="rId58" ref="G40"/>
    <hyperlink r:id="rId59" ref="H40"/>
    <hyperlink r:id="rId60" ref="I40"/>
    <hyperlink r:id="rId61" ref="J40"/>
    <hyperlink r:id="rId62" ref="K40"/>
    <hyperlink r:id="rId63" ref="L40"/>
    <hyperlink r:id="rId64" ref="M40"/>
    <hyperlink r:id="rId65" ref="N40"/>
    <hyperlink r:id="rId66" ref="O40"/>
    <hyperlink r:id="rId67" ref="P40"/>
    <hyperlink r:id="rId68" ref="C48"/>
    <hyperlink r:id="rId69" ref="D48"/>
    <hyperlink r:id="rId70" ref="E48"/>
    <hyperlink r:id="rId71" ref="F48"/>
    <hyperlink r:id="rId72" ref="G48"/>
    <hyperlink r:id="rId73" ref="H48"/>
    <hyperlink r:id="rId74" ref="I48"/>
    <hyperlink r:id="rId75" ref="J48"/>
    <hyperlink r:id="rId76" ref="K48"/>
    <hyperlink r:id="rId77" ref="L48"/>
    <hyperlink r:id="rId78" ref="M48"/>
    <hyperlink r:id="rId79" ref="N48"/>
    <hyperlink r:id="rId80" ref="O48"/>
    <hyperlink r:id="rId81" ref="P48"/>
    <hyperlink r:id="rId82" ref="Q48"/>
    <hyperlink r:id="rId83" ref="R48"/>
    <hyperlink r:id="rId84" ref="S48"/>
    <hyperlink r:id="rId85" ref="C56"/>
    <hyperlink r:id="rId86" ref="D56"/>
    <hyperlink r:id="rId87" ref="E56"/>
    <hyperlink r:id="rId88" ref="F56"/>
    <hyperlink r:id="rId89" ref="G56"/>
    <hyperlink r:id="rId90" ref="H56"/>
    <hyperlink r:id="rId91" ref="I56"/>
    <hyperlink r:id="rId92" ref="J56"/>
    <hyperlink r:id="rId93" ref="K56"/>
    <hyperlink r:id="rId94" ref="L56"/>
    <hyperlink r:id="rId95" ref="M56"/>
    <hyperlink r:id="rId96" ref="N56"/>
    <hyperlink r:id="rId97" ref="O56"/>
    <hyperlink r:id="rId98" ref="C64"/>
    <hyperlink r:id="rId99" ref="D64"/>
    <hyperlink r:id="rId100" ref="E64"/>
    <hyperlink r:id="rId101" ref="F64"/>
    <hyperlink r:id="rId102" ref="G64"/>
    <hyperlink r:id="rId103" ref="H64"/>
    <hyperlink r:id="rId104" ref="I64"/>
    <hyperlink r:id="rId105" ref="J64"/>
    <hyperlink r:id="rId106" ref="K64"/>
    <hyperlink r:id="rId107" ref="L64"/>
    <hyperlink r:id="rId108" ref="C72"/>
    <hyperlink r:id="rId109" ref="D72"/>
    <hyperlink r:id="rId110" ref="E72"/>
    <hyperlink r:id="rId111" ref="F72"/>
    <hyperlink r:id="rId112" ref="G72"/>
    <hyperlink r:id="rId113" ref="H72"/>
    <hyperlink r:id="rId114" ref="I72"/>
    <hyperlink r:id="rId115" ref="J72"/>
    <hyperlink r:id="rId116" ref="K72"/>
    <hyperlink r:id="rId117" ref="L72"/>
    <hyperlink r:id="rId118" ref="M72"/>
    <hyperlink r:id="rId119" ref="N72"/>
    <hyperlink r:id="rId120" ref="O72"/>
    <hyperlink r:id="rId121" ref="C80"/>
    <hyperlink r:id="rId122" ref="D80"/>
    <hyperlink r:id="rId123" ref="E80"/>
    <hyperlink r:id="rId124" ref="F80"/>
    <hyperlink r:id="rId125" ref="G80"/>
    <hyperlink r:id="rId126" ref="H80"/>
    <hyperlink r:id="rId127" ref="I80"/>
    <hyperlink r:id="rId128" ref="J80"/>
    <hyperlink r:id="rId129" ref="K80"/>
    <hyperlink r:id="rId130" ref="L80"/>
    <hyperlink r:id="rId131" ref="M80"/>
    <hyperlink r:id="rId132" ref="N80"/>
    <hyperlink r:id="rId133" ref="O80"/>
    <hyperlink r:id="rId134" ref="P80"/>
    <hyperlink r:id="rId135" ref="Q80"/>
    <hyperlink r:id="rId136" ref="C88"/>
    <hyperlink r:id="rId137" ref="D88"/>
    <hyperlink r:id="rId138" ref="E88"/>
    <hyperlink r:id="rId139" ref="F88"/>
    <hyperlink r:id="rId140" ref="G88"/>
    <hyperlink r:id="rId141" ref="H88"/>
    <hyperlink r:id="rId142" ref="I88"/>
    <hyperlink r:id="rId143" ref="J88"/>
    <hyperlink r:id="rId144" ref="K88"/>
    <hyperlink r:id="rId145" ref="L88"/>
    <hyperlink r:id="rId146" ref="M88"/>
    <hyperlink r:id="rId147" ref="N88"/>
    <hyperlink r:id="rId148" ref="O88"/>
    <hyperlink r:id="rId149" ref="C96"/>
    <hyperlink r:id="rId150" ref="D96"/>
    <hyperlink r:id="rId151" ref="E96"/>
    <hyperlink r:id="rId152" ref="F96"/>
    <hyperlink r:id="rId153" ref="G96"/>
    <hyperlink r:id="rId154" ref="H96"/>
    <hyperlink r:id="rId155" ref="I96"/>
    <hyperlink r:id="rId156" ref="J96"/>
    <hyperlink r:id="rId157" ref="K96"/>
    <hyperlink r:id="rId158" ref="L96"/>
    <hyperlink r:id="rId159" ref="M96"/>
    <hyperlink r:id="rId160" ref="N96"/>
    <hyperlink r:id="rId161" ref="O96"/>
    <hyperlink r:id="rId162" ref="P96"/>
    <hyperlink r:id="rId163" ref="Q96"/>
    <hyperlink r:id="rId164" ref="R96"/>
    <hyperlink r:id="rId165" ref="C104"/>
    <hyperlink r:id="rId166" ref="D104"/>
    <hyperlink r:id="rId167" ref="E104"/>
    <hyperlink r:id="rId168" ref="F104"/>
    <hyperlink r:id="rId169" ref="G104"/>
    <hyperlink r:id="rId170" ref="H104"/>
    <hyperlink r:id="rId171" ref="I104"/>
    <hyperlink r:id="rId172" ref="J104"/>
    <hyperlink r:id="rId173" ref="K104"/>
    <hyperlink r:id="rId174" ref="L104"/>
    <hyperlink r:id="rId175" ref="M104"/>
    <hyperlink r:id="rId176" ref="N104"/>
    <hyperlink r:id="rId177" ref="O104"/>
    <hyperlink r:id="rId178" ref="P104"/>
    <hyperlink r:id="rId179" ref="Q104"/>
    <hyperlink r:id="rId180" ref="R104"/>
    <hyperlink r:id="rId181" ref="S104"/>
    <hyperlink r:id="rId182" ref="C112"/>
    <hyperlink r:id="rId183" ref="D112"/>
    <hyperlink r:id="rId184" ref="E112"/>
    <hyperlink r:id="rId185" ref="F112"/>
    <hyperlink r:id="rId186" ref="G112"/>
    <hyperlink r:id="rId187" ref="H112"/>
    <hyperlink r:id="rId188" ref="I112"/>
    <hyperlink r:id="rId189" ref="J112"/>
  </hyperlinks>
  <drawing r:id="rId190"/>
</worksheet>
</file>